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040" firstSheet="1" activeTab="10"/>
  </bookViews>
  <sheets>
    <sheet name="foxz" sheetId="2" state="veryHidden" r:id="rId1"/>
    <sheet name="1. TP DBP " sheetId="29" r:id="rId2"/>
    <sheet name="2. Huyện Điện Biên" sheetId="21" r:id="rId3"/>
    <sheet name="3. Điện Biên Đông" sheetId="23" r:id="rId4"/>
    <sheet name="4. Mường Ảng" sheetId="30" r:id="rId5"/>
    <sheet name="5.Tuần Giáo" sheetId="14" r:id="rId6"/>
    <sheet name="6. Mường Nhé" sheetId="26" r:id="rId7"/>
    <sheet name="7. Mường Chà" sheetId="28" r:id="rId8"/>
    <sheet name="8. Nậm Pồ" sheetId="9" r:id="rId9"/>
    <sheet name="9. Tủa Chùa" sheetId="31" r:id="rId10"/>
    <sheet name="10. Mường Lay" sheetId="24" r:id="rId11"/>
  </sheets>
  <definedNames>
    <definedName name="_xlnm._FilterDatabase" localSheetId="1" hidden="1">'1. TP DBP '!$A$8:$O$60</definedName>
    <definedName name="_xlnm._FilterDatabase" localSheetId="2" hidden="1">'2. Huyện Điện Biên'!$A$6:$J$261</definedName>
    <definedName name="_xlnm._FilterDatabase" localSheetId="3" hidden="1">'3. Điện Biên Đông'!$A$6:$WVQ$95</definedName>
    <definedName name="_xlnm.Print_Titles" localSheetId="1">'1. TP DBP '!$5:$7</definedName>
    <definedName name="_xlnm.Print_Titles" localSheetId="10">'10. Mường Lay'!$3:$4</definedName>
    <definedName name="_xlnm.Print_Titles" localSheetId="2">'2. Huyện Điện Biên'!$4:$6</definedName>
    <definedName name="_xlnm.Print_Titles" localSheetId="3">'3. Điện Biên Đông'!$3:$4</definedName>
    <definedName name="_xlnm.Print_Titles" localSheetId="4">'4. Mường Ảng'!$3:$4</definedName>
    <definedName name="_xlnm.Print_Titles" localSheetId="5">'5.Tuần Giáo'!$3:$5</definedName>
    <definedName name="_xlnm.Print_Titles" localSheetId="6">'6. Mường Nhé'!$3:$4</definedName>
    <definedName name="_xlnm.Print_Titles" localSheetId="7">'7. Mường Chà'!$3:$4</definedName>
    <definedName name="_xlnm.Print_Titles" localSheetId="8">'8. Nậm Pồ'!$3:$4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31" l="1"/>
  <c r="I40" i="31"/>
  <c r="H40" i="31"/>
  <c r="J39" i="31"/>
  <c r="I39" i="31"/>
  <c r="H39" i="31"/>
  <c r="J37" i="31"/>
  <c r="I37" i="31"/>
  <c r="H37" i="31"/>
  <c r="J36" i="31"/>
  <c r="I36" i="31"/>
  <c r="H36" i="31"/>
  <c r="J34" i="31"/>
  <c r="I34" i="31"/>
  <c r="H34" i="31"/>
  <c r="J33" i="31"/>
  <c r="I33" i="31"/>
  <c r="H33" i="31"/>
  <c r="J31" i="31"/>
  <c r="I31" i="31"/>
  <c r="H31" i="31"/>
  <c r="J30" i="31"/>
  <c r="I30" i="31"/>
  <c r="H30" i="31"/>
  <c r="J28" i="31"/>
  <c r="I28" i="31"/>
  <c r="H28" i="31"/>
  <c r="J27" i="31"/>
  <c r="I27" i="31"/>
  <c r="H27" i="31"/>
  <c r="J25" i="31"/>
  <c r="I25" i="31"/>
  <c r="H25" i="31"/>
  <c r="J24" i="31"/>
  <c r="I24" i="31"/>
  <c r="H24" i="31"/>
  <c r="J23" i="31"/>
  <c r="I23" i="31"/>
  <c r="H23" i="31"/>
  <c r="J21" i="31"/>
  <c r="I21" i="31"/>
  <c r="H21" i="31"/>
  <c r="J20" i="31"/>
  <c r="I20" i="31"/>
  <c r="H20" i="31"/>
  <c r="J18" i="31"/>
  <c r="I18" i="31"/>
  <c r="H18" i="31"/>
  <c r="J17" i="31"/>
  <c r="I17" i="31"/>
  <c r="H17" i="31"/>
  <c r="J15" i="31"/>
  <c r="I15" i="31"/>
  <c r="H15" i="31"/>
  <c r="J14" i="31"/>
  <c r="I14" i="31"/>
  <c r="H14" i="31"/>
  <c r="J12" i="31"/>
  <c r="I12" i="31"/>
  <c r="H12" i="31"/>
  <c r="J11" i="31"/>
  <c r="I11" i="31"/>
  <c r="H11" i="31"/>
  <c r="J9" i="31"/>
  <c r="I9" i="31"/>
  <c r="H9" i="31"/>
  <c r="J8" i="31"/>
  <c r="I8" i="31"/>
  <c r="H8" i="31"/>
  <c r="J7" i="31"/>
  <c r="I7" i="31"/>
  <c r="H7" i="31"/>
  <c r="J6" i="31"/>
  <c r="I6" i="31"/>
  <c r="H6" i="31"/>
  <c r="M126" i="30" l="1"/>
  <c r="P126" i="30" s="1"/>
  <c r="S126" i="30" s="1"/>
  <c r="L126" i="30"/>
  <c r="O126" i="30" s="1"/>
  <c r="R126" i="30" s="1"/>
  <c r="K126" i="30"/>
  <c r="N126" i="30" s="1"/>
  <c r="H126" i="30"/>
  <c r="G126" i="30"/>
  <c r="F126" i="30"/>
  <c r="M125" i="30"/>
  <c r="P125" i="30" s="1"/>
  <c r="S125" i="30" s="1"/>
  <c r="L125" i="30"/>
  <c r="O125" i="30" s="1"/>
  <c r="R125" i="30" s="1"/>
  <c r="K125" i="30"/>
  <c r="N125" i="30" s="1"/>
  <c r="Q125" i="30" s="1"/>
  <c r="H125" i="30"/>
  <c r="G125" i="30"/>
  <c r="F125" i="30"/>
  <c r="M124" i="30"/>
  <c r="P124" i="30" s="1"/>
  <c r="L124" i="30"/>
  <c r="O124" i="30" s="1"/>
  <c r="K124" i="30"/>
  <c r="N124" i="30" s="1"/>
  <c r="Q124" i="30" s="1"/>
  <c r="H124" i="30"/>
  <c r="G124" i="30"/>
  <c r="F124" i="30"/>
  <c r="P122" i="30"/>
  <c r="S122" i="30" s="1"/>
  <c r="O122" i="30"/>
  <c r="R122" i="30" s="1"/>
  <c r="M122" i="30"/>
  <c r="L122" i="30"/>
  <c r="K122" i="30"/>
  <c r="N122" i="30" s="1"/>
  <c r="H122" i="30"/>
  <c r="G122" i="30"/>
  <c r="F122" i="30"/>
  <c r="M121" i="30"/>
  <c r="P121" i="30" s="1"/>
  <c r="L121" i="30"/>
  <c r="O121" i="30" s="1"/>
  <c r="K121" i="30"/>
  <c r="N121" i="30" s="1"/>
  <c r="H121" i="30"/>
  <c r="G121" i="30"/>
  <c r="F121" i="30"/>
  <c r="Q121" i="30" s="1"/>
  <c r="O119" i="30"/>
  <c r="M119" i="30"/>
  <c r="P119" i="30" s="1"/>
  <c r="S119" i="30" s="1"/>
  <c r="L119" i="30"/>
  <c r="K119" i="30"/>
  <c r="N119" i="30" s="1"/>
  <c r="H119" i="30"/>
  <c r="G119" i="30"/>
  <c r="F119" i="30"/>
  <c r="M117" i="30"/>
  <c r="P117" i="30" s="1"/>
  <c r="L117" i="30"/>
  <c r="O117" i="30" s="1"/>
  <c r="R117" i="30" s="1"/>
  <c r="K117" i="30"/>
  <c r="N117" i="30" s="1"/>
  <c r="H117" i="30"/>
  <c r="G117" i="30"/>
  <c r="F117" i="30"/>
  <c r="P116" i="30"/>
  <c r="M116" i="30"/>
  <c r="L116" i="30"/>
  <c r="O116" i="30" s="1"/>
  <c r="R116" i="30" s="1"/>
  <c r="K116" i="30"/>
  <c r="N116" i="30" s="1"/>
  <c r="H116" i="30"/>
  <c r="G116" i="30"/>
  <c r="F116" i="30"/>
  <c r="Q114" i="30"/>
  <c r="M114" i="30"/>
  <c r="P114" i="30" s="1"/>
  <c r="S114" i="30" s="1"/>
  <c r="L114" i="30"/>
  <c r="O114" i="30" s="1"/>
  <c r="K114" i="30"/>
  <c r="N114" i="30" s="1"/>
  <c r="H114" i="30"/>
  <c r="G114" i="30"/>
  <c r="F114" i="30"/>
  <c r="O113" i="30"/>
  <c r="M113" i="30"/>
  <c r="P113" i="30" s="1"/>
  <c r="S113" i="30" s="1"/>
  <c r="L113" i="30"/>
  <c r="K113" i="30"/>
  <c r="N113" i="30" s="1"/>
  <c r="Q113" i="30" s="1"/>
  <c r="H113" i="30"/>
  <c r="G113" i="30"/>
  <c r="F113" i="30"/>
  <c r="Q111" i="30"/>
  <c r="M111" i="30"/>
  <c r="P111" i="30" s="1"/>
  <c r="S111" i="30" s="1"/>
  <c r="L111" i="30"/>
  <c r="O111" i="30" s="1"/>
  <c r="K111" i="30"/>
  <c r="N111" i="30" s="1"/>
  <c r="H111" i="30"/>
  <c r="G111" i="30"/>
  <c r="F111" i="30"/>
  <c r="M110" i="30"/>
  <c r="P110" i="30" s="1"/>
  <c r="S110" i="30" s="1"/>
  <c r="L110" i="30"/>
  <c r="O110" i="30" s="1"/>
  <c r="R110" i="30" s="1"/>
  <c r="K110" i="30"/>
  <c r="N110" i="30" s="1"/>
  <c r="H110" i="30"/>
  <c r="G110" i="30"/>
  <c r="F110" i="30"/>
  <c r="M108" i="30"/>
  <c r="P108" i="30" s="1"/>
  <c r="L108" i="30"/>
  <c r="O108" i="30" s="1"/>
  <c r="K108" i="30"/>
  <c r="N108" i="30" s="1"/>
  <c r="H108" i="30"/>
  <c r="G108" i="30"/>
  <c r="F108" i="30"/>
  <c r="Q108" i="30" s="1"/>
  <c r="P107" i="30"/>
  <c r="S107" i="30" s="1"/>
  <c r="O107" i="30"/>
  <c r="R107" i="30" s="1"/>
  <c r="M107" i="30"/>
  <c r="L107" i="30"/>
  <c r="K107" i="30"/>
  <c r="N107" i="30" s="1"/>
  <c r="Q107" i="30" s="1"/>
  <c r="H107" i="30"/>
  <c r="G107" i="30"/>
  <c r="F107" i="30"/>
  <c r="M105" i="30"/>
  <c r="P105" i="30" s="1"/>
  <c r="L105" i="30"/>
  <c r="O105" i="30" s="1"/>
  <c r="K105" i="30"/>
  <c r="N105" i="30" s="1"/>
  <c r="H105" i="30"/>
  <c r="G105" i="30"/>
  <c r="F105" i="30"/>
  <c r="Q105" i="30" s="1"/>
  <c r="O104" i="30"/>
  <c r="R104" i="30" s="1"/>
  <c r="M104" i="30"/>
  <c r="P104" i="30" s="1"/>
  <c r="S104" i="30" s="1"/>
  <c r="L104" i="30"/>
  <c r="K104" i="30"/>
  <c r="N104" i="30" s="1"/>
  <c r="H104" i="30"/>
  <c r="G104" i="30"/>
  <c r="F104" i="30"/>
  <c r="M102" i="30"/>
  <c r="P102" i="30" s="1"/>
  <c r="S102" i="30" s="1"/>
  <c r="L102" i="30"/>
  <c r="O102" i="30" s="1"/>
  <c r="R102" i="30" s="1"/>
  <c r="K102" i="30"/>
  <c r="N102" i="30" s="1"/>
  <c r="Q102" i="30" s="1"/>
  <c r="H102" i="30"/>
  <c r="G102" i="30"/>
  <c r="F102" i="30"/>
  <c r="M101" i="30"/>
  <c r="P101" i="30" s="1"/>
  <c r="S101" i="30" s="1"/>
  <c r="L101" i="30"/>
  <c r="O101" i="30" s="1"/>
  <c r="R101" i="30" s="1"/>
  <c r="K101" i="30"/>
  <c r="N101" i="30" s="1"/>
  <c r="H101" i="30"/>
  <c r="G101" i="30"/>
  <c r="F101" i="30"/>
  <c r="Q100" i="30"/>
  <c r="M100" i="30"/>
  <c r="P100" i="30" s="1"/>
  <c r="L100" i="30"/>
  <c r="O100" i="30" s="1"/>
  <c r="R100" i="30" s="1"/>
  <c r="K100" i="30"/>
  <c r="N100" i="30" s="1"/>
  <c r="H100" i="30"/>
  <c r="G100" i="30"/>
  <c r="F100" i="30"/>
  <c r="P98" i="30"/>
  <c r="M98" i="30"/>
  <c r="L98" i="30"/>
  <c r="O98" i="30" s="1"/>
  <c r="R98" i="30" s="1"/>
  <c r="K98" i="30"/>
  <c r="N98" i="30" s="1"/>
  <c r="Q98" i="30" s="1"/>
  <c r="H98" i="30"/>
  <c r="G98" i="30"/>
  <c r="F98" i="30"/>
  <c r="M97" i="30"/>
  <c r="P97" i="30" s="1"/>
  <c r="S97" i="30" s="1"/>
  <c r="L97" i="30"/>
  <c r="O97" i="30" s="1"/>
  <c r="K97" i="30"/>
  <c r="N97" i="30" s="1"/>
  <c r="H97" i="30"/>
  <c r="G97" i="30"/>
  <c r="F97" i="30"/>
  <c r="Q97" i="30" s="1"/>
  <c r="M95" i="30"/>
  <c r="P95" i="30" s="1"/>
  <c r="S95" i="30" s="1"/>
  <c r="L95" i="30"/>
  <c r="O95" i="30" s="1"/>
  <c r="R95" i="30" s="1"/>
  <c r="K95" i="30"/>
  <c r="N95" i="30" s="1"/>
  <c r="Q95" i="30" s="1"/>
  <c r="H95" i="30"/>
  <c r="G95" i="30"/>
  <c r="F95" i="30"/>
  <c r="M94" i="30"/>
  <c r="P94" i="30" s="1"/>
  <c r="L94" i="30"/>
  <c r="O94" i="30" s="1"/>
  <c r="K94" i="30"/>
  <c r="N94" i="30" s="1"/>
  <c r="H94" i="30"/>
  <c r="G94" i="30"/>
  <c r="F94" i="30"/>
  <c r="Q94" i="30" s="1"/>
  <c r="P92" i="30"/>
  <c r="S92" i="30" s="1"/>
  <c r="O92" i="30"/>
  <c r="R92" i="30" s="1"/>
  <c r="M92" i="30"/>
  <c r="L92" i="30"/>
  <c r="K92" i="30"/>
  <c r="N92" i="30" s="1"/>
  <c r="Q92" i="30" s="1"/>
  <c r="H92" i="30"/>
  <c r="G92" i="30"/>
  <c r="F92" i="30"/>
  <c r="M90" i="30"/>
  <c r="P90" i="30" s="1"/>
  <c r="L90" i="30"/>
  <c r="O90" i="30" s="1"/>
  <c r="K90" i="30"/>
  <c r="N90" i="30" s="1"/>
  <c r="Q90" i="30" s="1"/>
  <c r="H90" i="30"/>
  <c r="G90" i="30"/>
  <c r="F90" i="30"/>
  <c r="P89" i="30"/>
  <c r="S89" i="30" s="1"/>
  <c r="O89" i="30"/>
  <c r="M89" i="30"/>
  <c r="L89" i="30"/>
  <c r="K89" i="30"/>
  <c r="N89" i="30" s="1"/>
  <c r="H89" i="30"/>
  <c r="G89" i="30"/>
  <c r="F89" i="30"/>
  <c r="Q87" i="30"/>
  <c r="M87" i="30"/>
  <c r="P87" i="30" s="1"/>
  <c r="S87" i="30" s="1"/>
  <c r="L87" i="30"/>
  <c r="O87" i="30" s="1"/>
  <c r="R87" i="30" s="1"/>
  <c r="K87" i="30"/>
  <c r="N87" i="30" s="1"/>
  <c r="H87" i="30"/>
  <c r="G87" i="30"/>
  <c r="F87" i="30"/>
  <c r="M86" i="30"/>
  <c r="P86" i="30" s="1"/>
  <c r="S86" i="30" s="1"/>
  <c r="L86" i="30"/>
  <c r="O86" i="30" s="1"/>
  <c r="R86" i="30" s="1"/>
  <c r="K86" i="30"/>
  <c r="N86" i="30" s="1"/>
  <c r="H86" i="30"/>
  <c r="G86" i="30"/>
  <c r="F86" i="30"/>
  <c r="M84" i="30"/>
  <c r="P84" i="30" s="1"/>
  <c r="S84" i="30" s="1"/>
  <c r="L84" i="30"/>
  <c r="O84" i="30" s="1"/>
  <c r="R84" i="30" s="1"/>
  <c r="K84" i="30"/>
  <c r="N84" i="30" s="1"/>
  <c r="H84" i="30"/>
  <c r="G84" i="30"/>
  <c r="F84" i="30"/>
  <c r="P83" i="30"/>
  <c r="M83" i="30"/>
  <c r="L83" i="30"/>
  <c r="O83" i="30" s="1"/>
  <c r="R83" i="30" s="1"/>
  <c r="K83" i="30"/>
  <c r="N83" i="30" s="1"/>
  <c r="Q83" i="30" s="1"/>
  <c r="H83" i="30"/>
  <c r="G83" i="30"/>
  <c r="F83" i="30"/>
  <c r="M82" i="30"/>
  <c r="P82" i="30" s="1"/>
  <c r="S82" i="30" s="1"/>
  <c r="L82" i="30"/>
  <c r="O82" i="30" s="1"/>
  <c r="K82" i="30"/>
  <c r="N82" i="30" s="1"/>
  <c r="H82" i="30"/>
  <c r="G82" i="30"/>
  <c r="F82" i="30"/>
  <c r="Q82" i="30" s="1"/>
  <c r="M81" i="30"/>
  <c r="P81" i="30" s="1"/>
  <c r="S81" i="30" s="1"/>
  <c r="L81" i="30"/>
  <c r="O81" i="30" s="1"/>
  <c r="R81" i="30" s="1"/>
  <c r="K81" i="30"/>
  <c r="N81" i="30" s="1"/>
  <c r="Q81" i="30" s="1"/>
  <c r="H81" i="30"/>
  <c r="G81" i="30"/>
  <c r="F81" i="30"/>
  <c r="M79" i="30"/>
  <c r="P79" i="30" s="1"/>
  <c r="S79" i="30" s="1"/>
  <c r="L79" i="30"/>
  <c r="O79" i="30" s="1"/>
  <c r="K79" i="30"/>
  <c r="N79" i="30" s="1"/>
  <c r="Q79" i="30" s="1"/>
  <c r="H79" i="30"/>
  <c r="G79" i="30"/>
  <c r="F79" i="30"/>
  <c r="P78" i="30"/>
  <c r="S78" i="30" s="1"/>
  <c r="M78" i="30"/>
  <c r="L78" i="30"/>
  <c r="O78" i="30" s="1"/>
  <c r="R78" i="30" s="1"/>
  <c r="K78" i="30"/>
  <c r="N78" i="30" s="1"/>
  <c r="H78" i="30"/>
  <c r="G78" i="30"/>
  <c r="F78" i="30"/>
  <c r="M76" i="30"/>
  <c r="P76" i="30" s="1"/>
  <c r="L76" i="30"/>
  <c r="O76" i="30" s="1"/>
  <c r="R76" i="30" s="1"/>
  <c r="K76" i="30"/>
  <c r="N76" i="30" s="1"/>
  <c r="Q76" i="30" s="1"/>
  <c r="H76" i="30"/>
  <c r="G76" i="30"/>
  <c r="F76" i="30"/>
  <c r="P75" i="30"/>
  <c r="M75" i="30"/>
  <c r="L75" i="30"/>
  <c r="O75" i="30" s="1"/>
  <c r="R75" i="30" s="1"/>
  <c r="K75" i="30"/>
  <c r="N75" i="30" s="1"/>
  <c r="H75" i="30"/>
  <c r="G75" i="30"/>
  <c r="F75" i="30"/>
  <c r="M73" i="30"/>
  <c r="P73" i="30" s="1"/>
  <c r="S73" i="30" s="1"/>
  <c r="L73" i="30"/>
  <c r="O73" i="30" s="1"/>
  <c r="R73" i="30" s="1"/>
  <c r="K73" i="30"/>
  <c r="N73" i="30" s="1"/>
  <c r="H73" i="30"/>
  <c r="G73" i="30"/>
  <c r="F73" i="30"/>
  <c r="Q73" i="30" s="1"/>
  <c r="M72" i="30"/>
  <c r="P72" i="30" s="1"/>
  <c r="S72" i="30" s="1"/>
  <c r="L72" i="30"/>
  <c r="O72" i="30" s="1"/>
  <c r="R72" i="30" s="1"/>
  <c r="K72" i="30"/>
  <c r="N72" i="30" s="1"/>
  <c r="H72" i="30"/>
  <c r="G72" i="30"/>
  <c r="F72" i="30"/>
  <c r="M71" i="30"/>
  <c r="P71" i="30" s="1"/>
  <c r="L71" i="30"/>
  <c r="O71" i="30" s="1"/>
  <c r="R71" i="30" s="1"/>
  <c r="K71" i="30"/>
  <c r="N71" i="30" s="1"/>
  <c r="H71" i="30"/>
  <c r="G71" i="30"/>
  <c r="F71" i="30"/>
  <c r="P70" i="30"/>
  <c r="M70" i="30"/>
  <c r="L70" i="30"/>
  <c r="O70" i="30" s="1"/>
  <c r="R70" i="30" s="1"/>
  <c r="K70" i="30"/>
  <c r="N70" i="30" s="1"/>
  <c r="Q70" i="30" s="1"/>
  <c r="H70" i="30"/>
  <c r="G70" i="30"/>
  <c r="F70" i="30"/>
  <c r="M69" i="30"/>
  <c r="P69" i="30" s="1"/>
  <c r="L69" i="30"/>
  <c r="O69" i="30" s="1"/>
  <c r="K69" i="30"/>
  <c r="N69" i="30" s="1"/>
  <c r="Q69" i="30" s="1"/>
  <c r="H69" i="30"/>
  <c r="G69" i="30"/>
  <c r="F69" i="30"/>
  <c r="O68" i="30"/>
  <c r="R68" i="30" s="1"/>
  <c r="M68" i="30"/>
  <c r="P68" i="30" s="1"/>
  <c r="S68" i="30" s="1"/>
  <c r="L68" i="30"/>
  <c r="K68" i="30"/>
  <c r="N68" i="30" s="1"/>
  <c r="Q68" i="30" s="1"/>
  <c r="H68" i="30"/>
  <c r="G68" i="30"/>
  <c r="F68" i="30"/>
  <c r="M67" i="30"/>
  <c r="P67" i="30" s="1"/>
  <c r="L67" i="30"/>
  <c r="O67" i="30" s="1"/>
  <c r="K67" i="30"/>
  <c r="N67" i="30" s="1"/>
  <c r="Q67" i="30" s="1"/>
  <c r="H67" i="30"/>
  <c r="G67" i="30"/>
  <c r="F67" i="30"/>
  <c r="M66" i="30"/>
  <c r="P66" i="30" s="1"/>
  <c r="L66" i="30"/>
  <c r="O66" i="30" s="1"/>
  <c r="K66" i="30"/>
  <c r="N66" i="30" s="1"/>
  <c r="Q66" i="30" s="1"/>
  <c r="H66" i="30"/>
  <c r="G66" i="30"/>
  <c r="F66" i="30"/>
  <c r="N65" i="30"/>
  <c r="Q65" i="30" s="1"/>
  <c r="M65" i="30"/>
  <c r="P65" i="30" s="1"/>
  <c r="S65" i="30" s="1"/>
  <c r="L65" i="30"/>
  <c r="O65" i="30" s="1"/>
  <c r="K65" i="30"/>
  <c r="H65" i="30"/>
  <c r="G65" i="30"/>
  <c r="F65" i="30"/>
  <c r="M64" i="30"/>
  <c r="P64" i="30" s="1"/>
  <c r="L64" i="30"/>
  <c r="O64" i="30" s="1"/>
  <c r="K64" i="30"/>
  <c r="N64" i="30" s="1"/>
  <c r="Q64" i="30" s="1"/>
  <c r="H64" i="30"/>
  <c r="G64" i="30"/>
  <c r="F64" i="30"/>
  <c r="N63" i="30"/>
  <c r="M63" i="30"/>
  <c r="P63" i="30" s="1"/>
  <c r="L63" i="30"/>
  <c r="O63" i="30" s="1"/>
  <c r="M62" i="30"/>
  <c r="P62" i="30" s="1"/>
  <c r="L62" i="30"/>
  <c r="O62" i="30" s="1"/>
  <c r="R62" i="30" s="1"/>
  <c r="K62" i="30"/>
  <c r="N62" i="30" s="1"/>
  <c r="H62" i="30"/>
  <c r="G62" i="30"/>
  <c r="F62" i="30"/>
  <c r="N61" i="30"/>
  <c r="Q61" i="30" s="1"/>
  <c r="M61" i="30"/>
  <c r="P61" i="30" s="1"/>
  <c r="S61" i="30" s="1"/>
  <c r="L61" i="30"/>
  <c r="O61" i="30" s="1"/>
  <c r="R61" i="30" s="1"/>
  <c r="K61" i="30"/>
  <c r="H61" i="30"/>
  <c r="G61" i="30"/>
  <c r="F61" i="30"/>
  <c r="M60" i="30"/>
  <c r="P60" i="30" s="1"/>
  <c r="S60" i="30" s="1"/>
  <c r="L60" i="30"/>
  <c r="O60" i="30" s="1"/>
  <c r="R60" i="30" s="1"/>
  <c r="K60" i="30"/>
  <c r="N60" i="30" s="1"/>
  <c r="Q60" i="30" s="1"/>
  <c r="H60" i="30"/>
  <c r="G60" i="30"/>
  <c r="F60" i="30"/>
  <c r="M59" i="30"/>
  <c r="P59" i="30" s="1"/>
  <c r="L59" i="30"/>
  <c r="O59" i="30" s="1"/>
  <c r="R59" i="30" s="1"/>
  <c r="K59" i="30"/>
  <c r="N59" i="30" s="1"/>
  <c r="Q59" i="30" s="1"/>
  <c r="H59" i="30"/>
  <c r="G59" i="30"/>
  <c r="F59" i="30"/>
  <c r="O57" i="30"/>
  <c r="R57" i="30" s="1"/>
  <c r="M57" i="30"/>
  <c r="P57" i="30" s="1"/>
  <c r="S57" i="30" s="1"/>
  <c r="L57" i="30"/>
  <c r="K57" i="30"/>
  <c r="N57" i="30" s="1"/>
  <c r="H57" i="30"/>
  <c r="G57" i="30"/>
  <c r="F57" i="30"/>
  <c r="N56" i="30"/>
  <c r="Q56" i="30" s="1"/>
  <c r="M56" i="30"/>
  <c r="P56" i="30" s="1"/>
  <c r="S56" i="30" s="1"/>
  <c r="L56" i="30"/>
  <c r="O56" i="30" s="1"/>
  <c r="R56" i="30" s="1"/>
  <c r="K56" i="30"/>
  <c r="H56" i="30"/>
  <c r="G56" i="30"/>
  <c r="F56" i="30"/>
  <c r="M55" i="30"/>
  <c r="P55" i="30" s="1"/>
  <c r="L55" i="30"/>
  <c r="O55" i="30" s="1"/>
  <c r="R55" i="30" s="1"/>
  <c r="K55" i="30"/>
  <c r="N55" i="30" s="1"/>
  <c r="H55" i="30"/>
  <c r="G55" i="30"/>
  <c r="F55" i="30"/>
  <c r="N54" i="30"/>
  <c r="Q54" i="30" s="1"/>
  <c r="M54" i="30"/>
  <c r="P54" i="30" s="1"/>
  <c r="S54" i="30" s="1"/>
  <c r="L54" i="30"/>
  <c r="O54" i="30" s="1"/>
  <c r="R54" i="30" s="1"/>
  <c r="H54" i="30"/>
  <c r="G54" i="30"/>
  <c r="F54" i="30"/>
  <c r="N53" i="30"/>
  <c r="Q53" i="30" s="1"/>
  <c r="M53" i="30"/>
  <c r="P53" i="30" s="1"/>
  <c r="L53" i="30"/>
  <c r="O53" i="30" s="1"/>
  <c r="H53" i="30"/>
  <c r="G53" i="30"/>
  <c r="F53" i="30"/>
  <c r="M50" i="30"/>
  <c r="P50" i="30" s="1"/>
  <c r="S50" i="30" s="1"/>
  <c r="L50" i="30"/>
  <c r="O50" i="30" s="1"/>
  <c r="K50" i="30"/>
  <c r="N50" i="30" s="1"/>
  <c r="H50" i="30"/>
  <c r="G50" i="30"/>
  <c r="F50" i="30"/>
  <c r="M49" i="30"/>
  <c r="P49" i="30" s="1"/>
  <c r="L49" i="30"/>
  <c r="O49" i="30" s="1"/>
  <c r="K49" i="30"/>
  <c r="N49" i="30" s="1"/>
  <c r="Q49" i="30" s="1"/>
  <c r="H49" i="30"/>
  <c r="G49" i="30"/>
  <c r="F49" i="30"/>
  <c r="M48" i="30"/>
  <c r="P48" i="30" s="1"/>
  <c r="S48" i="30" s="1"/>
  <c r="L48" i="30"/>
  <c r="O48" i="30" s="1"/>
  <c r="K48" i="30"/>
  <c r="N48" i="30" s="1"/>
  <c r="H48" i="30"/>
  <c r="G48" i="30"/>
  <c r="F48" i="30"/>
  <c r="M47" i="30"/>
  <c r="P47" i="30" s="1"/>
  <c r="L47" i="30"/>
  <c r="O47" i="30" s="1"/>
  <c r="K47" i="30"/>
  <c r="N47" i="30" s="1"/>
  <c r="Q47" i="30" s="1"/>
  <c r="H47" i="30"/>
  <c r="G47" i="30"/>
  <c r="F47" i="30"/>
  <c r="M46" i="30"/>
  <c r="P46" i="30" s="1"/>
  <c r="S46" i="30" s="1"/>
  <c r="L46" i="30"/>
  <c r="O46" i="30" s="1"/>
  <c r="K46" i="30"/>
  <c r="N46" i="30" s="1"/>
  <c r="H46" i="30"/>
  <c r="G46" i="30"/>
  <c r="F46" i="30"/>
  <c r="M45" i="30"/>
  <c r="P45" i="30" s="1"/>
  <c r="L45" i="30"/>
  <c r="O45" i="30" s="1"/>
  <c r="K45" i="30"/>
  <c r="N45" i="30" s="1"/>
  <c r="Q45" i="30" s="1"/>
  <c r="H45" i="30"/>
  <c r="G45" i="30"/>
  <c r="F45" i="30"/>
  <c r="M43" i="30"/>
  <c r="P43" i="30" s="1"/>
  <c r="S43" i="30" s="1"/>
  <c r="L43" i="30"/>
  <c r="O43" i="30" s="1"/>
  <c r="K43" i="30"/>
  <c r="N43" i="30" s="1"/>
  <c r="H43" i="30"/>
  <c r="G43" i="30"/>
  <c r="F43" i="30"/>
  <c r="M42" i="30"/>
  <c r="P42" i="30" s="1"/>
  <c r="L42" i="30"/>
  <c r="O42" i="30" s="1"/>
  <c r="K42" i="30"/>
  <c r="N42" i="30" s="1"/>
  <c r="Q42" i="30" s="1"/>
  <c r="H42" i="30"/>
  <c r="G42" i="30"/>
  <c r="F42" i="30"/>
  <c r="M41" i="30"/>
  <c r="P41" i="30" s="1"/>
  <c r="S41" i="30" s="1"/>
  <c r="L41" i="30"/>
  <c r="O41" i="30" s="1"/>
  <c r="K41" i="30"/>
  <c r="N41" i="30" s="1"/>
  <c r="H41" i="30"/>
  <c r="G41" i="30"/>
  <c r="F41" i="30"/>
  <c r="M39" i="30"/>
  <c r="P39" i="30" s="1"/>
  <c r="L39" i="30"/>
  <c r="O39" i="30" s="1"/>
  <c r="K39" i="30"/>
  <c r="N39" i="30" s="1"/>
  <c r="Q39" i="30" s="1"/>
  <c r="H39" i="30"/>
  <c r="G39" i="30"/>
  <c r="F39" i="30"/>
  <c r="M38" i="30"/>
  <c r="P38" i="30" s="1"/>
  <c r="S38" i="30" s="1"/>
  <c r="L38" i="30"/>
  <c r="O38" i="30" s="1"/>
  <c r="K38" i="30"/>
  <c r="N38" i="30" s="1"/>
  <c r="H38" i="30"/>
  <c r="G38" i="30"/>
  <c r="F38" i="30"/>
  <c r="M35" i="30"/>
  <c r="P35" i="30" s="1"/>
  <c r="L35" i="30"/>
  <c r="O35" i="30" s="1"/>
  <c r="K35" i="30"/>
  <c r="N35" i="30" s="1"/>
  <c r="Q35" i="30" s="1"/>
  <c r="H35" i="30"/>
  <c r="G35" i="30"/>
  <c r="F35" i="30"/>
  <c r="M34" i="30"/>
  <c r="P34" i="30" s="1"/>
  <c r="S34" i="30" s="1"/>
  <c r="L34" i="30"/>
  <c r="O34" i="30" s="1"/>
  <c r="K34" i="30"/>
  <c r="N34" i="30" s="1"/>
  <c r="H34" i="30"/>
  <c r="G34" i="30"/>
  <c r="F34" i="30"/>
  <c r="M33" i="30"/>
  <c r="P33" i="30" s="1"/>
  <c r="L33" i="30"/>
  <c r="O33" i="30" s="1"/>
  <c r="K33" i="30"/>
  <c r="N33" i="30" s="1"/>
  <c r="Q33" i="30" s="1"/>
  <c r="H33" i="30"/>
  <c r="G33" i="30"/>
  <c r="F33" i="30"/>
  <c r="M32" i="30"/>
  <c r="P32" i="30" s="1"/>
  <c r="S32" i="30" s="1"/>
  <c r="L32" i="30"/>
  <c r="O32" i="30" s="1"/>
  <c r="K32" i="30"/>
  <c r="N32" i="30" s="1"/>
  <c r="H32" i="30"/>
  <c r="G32" i="30"/>
  <c r="F32" i="30"/>
  <c r="M31" i="30"/>
  <c r="P31" i="30" s="1"/>
  <c r="S31" i="30" s="1"/>
  <c r="L31" i="30"/>
  <c r="O31" i="30" s="1"/>
  <c r="R31" i="30" s="1"/>
  <c r="K31" i="30"/>
  <c r="N31" i="30" s="1"/>
  <c r="Q31" i="30" s="1"/>
  <c r="H31" i="30"/>
  <c r="G31" i="30"/>
  <c r="F31" i="30"/>
  <c r="M29" i="30"/>
  <c r="P29" i="30" s="1"/>
  <c r="L29" i="30"/>
  <c r="O29" i="30" s="1"/>
  <c r="K29" i="30"/>
  <c r="N29" i="30" s="1"/>
  <c r="H29" i="30"/>
  <c r="G29" i="30"/>
  <c r="F29" i="30"/>
  <c r="Q29" i="30" s="1"/>
  <c r="O28" i="30"/>
  <c r="R28" i="30" s="1"/>
  <c r="M28" i="30"/>
  <c r="P28" i="30" s="1"/>
  <c r="S28" i="30" s="1"/>
  <c r="L28" i="30"/>
  <c r="K28" i="30"/>
  <c r="N28" i="30" s="1"/>
  <c r="Q28" i="30" s="1"/>
  <c r="H28" i="30"/>
  <c r="G28" i="30"/>
  <c r="F28" i="30"/>
  <c r="K26" i="30"/>
  <c r="N26" i="30" s="1"/>
  <c r="Q26" i="30" s="1"/>
  <c r="F26" i="30"/>
  <c r="K25" i="30"/>
  <c r="N25" i="30" s="1"/>
  <c r="F25" i="30"/>
  <c r="K24" i="30"/>
  <c r="N24" i="30" s="1"/>
  <c r="F24" i="30"/>
  <c r="M22" i="30"/>
  <c r="P22" i="30" s="1"/>
  <c r="S22" i="30" s="1"/>
  <c r="L22" i="30"/>
  <c r="O22" i="30" s="1"/>
  <c r="R22" i="30" s="1"/>
  <c r="K22" i="30"/>
  <c r="N22" i="30" s="1"/>
  <c r="H22" i="30"/>
  <c r="G22" i="30"/>
  <c r="F22" i="30"/>
  <c r="P20" i="30"/>
  <c r="M20" i="30"/>
  <c r="L20" i="30"/>
  <c r="O20" i="30" s="1"/>
  <c r="R20" i="30" s="1"/>
  <c r="K20" i="30"/>
  <c r="N20" i="30" s="1"/>
  <c r="H20" i="30"/>
  <c r="G20" i="30"/>
  <c r="F20" i="30"/>
  <c r="M19" i="30"/>
  <c r="P19" i="30" s="1"/>
  <c r="L19" i="30"/>
  <c r="O19" i="30" s="1"/>
  <c r="R19" i="30" s="1"/>
  <c r="K19" i="30"/>
  <c r="N19" i="30" s="1"/>
  <c r="H19" i="30"/>
  <c r="G19" i="30"/>
  <c r="F19" i="30"/>
  <c r="M18" i="30"/>
  <c r="P18" i="30" s="1"/>
  <c r="S18" i="30" s="1"/>
  <c r="L18" i="30"/>
  <c r="O18" i="30" s="1"/>
  <c r="R18" i="30" s="1"/>
  <c r="K18" i="30"/>
  <c r="N18" i="30" s="1"/>
  <c r="H18" i="30"/>
  <c r="G18" i="30"/>
  <c r="F18" i="30"/>
  <c r="Q18" i="30" s="1"/>
  <c r="M16" i="30"/>
  <c r="P16" i="30" s="1"/>
  <c r="L16" i="30"/>
  <c r="O16" i="30" s="1"/>
  <c r="R16" i="30" s="1"/>
  <c r="K16" i="30"/>
  <c r="N16" i="30" s="1"/>
  <c r="H16" i="30"/>
  <c r="G16" i="30"/>
  <c r="F16" i="30"/>
  <c r="P15" i="30"/>
  <c r="S15" i="30" s="1"/>
  <c r="M15" i="30"/>
  <c r="L15" i="30"/>
  <c r="O15" i="30" s="1"/>
  <c r="R15" i="30" s="1"/>
  <c r="K15" i="30"/>
  <c r="N15" i="30" s="1"/>
  <c r="H15" i="30"/>
  <c r="G15" i="30"/>
  <c r="F15" i="30"/>
  <c r="Q15" i="30" s="1"/>
  <c r="O13" i="30"/>
  <c r="M13" i="30"/>
  <c r="P13" i="30" s="1"/>
  <c r="L13" i="30"/>
  <c r="K13" i="30"/>
  <c r="N13" i="30" s="1"/>
  <c r="Q13" i="30" s="1"/>
  <c r="H13" i="30"/>
  <c r="G13" i="30"/>
  <c r="F13" i="30"/>
  <c r="P12" i="30"/>
  <c r="S12" i="30" s="1"/>
  <c r="M12" i="30"/>
  <c r="L12" i="30"/>
  <c r="O12" i="30" s="1"/>
  <c r="K12" i="30"/>
  <c r="N12" i="30" s="1"/>
  <c r="H12" i="30"/>
  <c r="G12" i="30"/>
  <c r="F12" i="30"/>
  <c r="Q12" i="30" s="1"/>
  <c r="M11" i="30"/>
  <c r="P11" i="30" s="1"/>
  <c r="S11" i="30" s="1"/>
  <c r="L11" i="30"/>
  <c r="O11" i="30" s="1"/>
  <c r="R11" i="30" s="1"/>
  <c r="K11" i="30"/>
  <c r="N11" i="30" s="1"/>
  <c r="Q11" i="30" s="1"/>
  <c r="H11" i="30"/>
  <c r="G11" i="30"/>
  <c r="F11" i="30"/>
  <c r="P10" i="30"/>
  <c r="O10" i="30"/>
  <c r="N10" i="30"/>
  <c r="Q10" i="30" s="1"/>
  <c r="H10" i="30"/>
  <c r="G10" i="30"/>
  <c r="F10" i="30"/>
  <c r="P9" i="30"/>
  <c r="S9" i="30" s="1"/>
  <c r="N9" i="30"/>
  <c r="M9" i="30"/>
  <c r="L9" i="30"/>
  <c r="O9" i="30" s="1"/>
  <c r="R9" i="30" s="1"/>
  <c r="K9" i="30"/>
  <c r="H9" i="30"/>
  <c r="G9" i="30"/>
  <c r="F9" i="30"/>
  <c r="M8" i="30"/>
  <c r="P8" i="30" s="1"/>
  <c r="L8" i="30"/>
  <c r="O8" i="30" s="1"/>
  <c r="K8" i="30"/>
  <c r="N8" i="30" s="1"/>
  <c r="Q8" i="30" s="1"/>
  <c r="H8" i="30"/>
  <c r="G8" i="30"/>
  <c r="R8" i="30" s="1"/>
  <c r="F8" i="30"/>
  <c r="P7" i="30"/>
  <c r="S7" i="30" s="1"/>
  <c r="M7" i="30"/>
  <c r="L7" i="30"/>
  <c r="O7" i="30" s="1"/>
  <c r="K7" i="30"/>
  <c r="N7" i="30" s="1"/>
  <c r="H7" i="30"/>
  <c r="G7" i="30"/>
  <c r="F7" i="30"/>
  <c r="Q117" i="30" l="1"/>
  <c r="S71" i="30"/>
  <c r="S100" i="30"/>
  <c r="Q110" i="30"/>
  <c r="R114" i="30"/>
  <c r="Q7" i="30"/>
  <c r="Q25" i="30"/>
  <c r="S53" i="30"/>
  <c r="Q55" i="30"/>
  <c r="Q62" i="30"/>
  <c r="Q72" i="30"/>
  <c r="S76" i="30"/>
  <c r="Q86" i="30"/>
  <c r="R90" i="30"/>
  <c r="S117" i="30"/>
  <c r="S8" i="30"/>
  <c r="S13" i="30"/>
  <c r="Q16" i="30"/>
  <c r="S20" i="30"/>
  <c r="S33" i="30"/>
  <c r="S35" i="30"/>
  <c r="S39" i="30"/>
  <c r="S42" i="30"/>
  <c r="S45" i="30"/>
  <c r="S47" i="30"/>
  <c r="S49" i="30"/>
  <c r="S67" i="30"/>
  <c r="S90" i="30"/>
  <c r="Q101" i="30"/>
  <c r="R105" i="30"/>
  <c r="R121" i="30"/>
  <c r="R13" i="30"/>
  <c r="S59" i="30"/>
  <c r="S83" i="30"/>
  <c r="S98" i="30"/>
  <c r="S105" i="30"/>
  <c r="R113" i="30"/>
  <c r="Q116" i="30"/>
  <c r="S121" i="30"/>
  <c r="Q75" i="30"/>
  <c r="S16" i="30"/>
  <c r="Q19" i="30"/>
  <c r="Q71" i="30"/>
  <c r="Q84" i="30"/>
  <c r="Q89" i="30"/>
  <c r="R94" i="30"/>
  <c r="R108" i="30"/>
  <c r="R124" i="30"/>
  <c r="Q24" i="30"/>
  <c r="S62" i="30"/>
  <c r="S70" i="30"/>
  <c r="S10" i="30"/>
  <c r="R29" i="30"/>
  <c r="Q57" i="30"/>
  <c r="R69" i="30"/>
  <c r="S94" i="30"/>
  <c r="Q104" i="30"/>
  <c r="S108" i="30"/>
  <c r="Q119" i="30"/>
  <c r="S124" i="30"/>
  <c r="R53" i="30"/>
  <c r="Q9" i="30"/>
  <c r="R12" i="30"/>
  <c r="S19" i="30"/>
  <c r="Q22" i="30"/>
  <c r="S29" i="30"/>
  <c r="Q32" i="30"/>
  <c r="Q34" i="30"/>
  <c r="Q38" i="30"/>
  <c r="Q41" i="30"/>
  <c r="Q43" i="30"/>
  <c r="Q46" i="30"/>
  <c r="Q48" i="30"/>
  <c r="Q50" i="30"/>
  <c r="S66" i="30"/>
  <c r="S69" i="30"/>
  <c r="Q78" i="30"/>
  <c r="R82" i="30"/>
  <c r="R97" i="30"/>
  <c r="R111" i="30"/>
  <c r="Q126" i="30"/>
  <c r="S55" i="30"/>
  <c r="R79" i="30"/>
  <c r="R7" i="30"/>
  <c r="S75" i="30"/>
  <c r="R89" i="30"/>
  <c r="S116" i="30"/>
  <c r="Q122" i="30"/>
  <c r="Q20" i="30"/>
  <c r="R119" i="30"/>
  <c r="R10" i="30"/>
  <c r="R64" i="30"/>
  <c r="R65" i="30"/>
  <c r="R66" i="30"/>
  <c r="R67" i="30"/>
  <c r="R32" i="30"/>
  <c r="R33" i="30"/>
  <c r="R34" i="30"/>
  <c r="R35" i="30"/>
  <c r="R38" i="30"/>
  <c r="R39" i="30"/>
  <c r="R41" i="30"/>
  <c r="R42" i="30"/>
  <c r="R43" i="30"/>
  <c r="R45" i="30"/>
  <c r="R46" i="30"/>
  <c r="R47" i="30"/>
  <c r="R48" i="30"/>
  <c r="R49" i="30"/>
  <c r="R50" i="30"/>
  <c r="S64" i="30"/>
  <c r="M60" i="29" l="1"/>
  <c r="C60" i="29"/>
  <c r="O59" i="29"/>
  <c r="N59" i="29"/>
  <c r="M59" i="29"/>
  <c r="E59" i="29"/>
  <c r="D59" i="29"/>
  <c r="C59" i="29"/>
  <c r="O58" i="29"/>
  <c r="N58" i="29"/>
  <c r="M58" i="29"/>
  <c r="E58" i="29"/>
  <c r="D58" i="29"/>
  <c r="C58" i="29"/>
  <c r="O57" i="29"/>
  <c r="N57" i="29"/>
  <c r="M57" i="29"/>
  <c r="E57" i="29"/>
  <c r="D57" i="29"/>
  <c r="C57" i="29"/>
  <c r="O56" i="29"/>
  <c r="N56" i="29"/>
  <c r="M56" i="29"/>
  <c r="E56" i="29"/>
  <c r="D56" i="29"/>
  <c r="C56" i="29"/>
  <c r="O55" i="29"/>
  <c r="N55" i="29"/>
  <c r="M55" i="29"/>
  <c r="E55" i="29"/>
  <c r="D55" i="29"/>
  <c r="C55" i="29"/>
  <c r="M53" i="29"/>
  <c r="C53" i="29"/>
  <c r="O52" i="29"/>
  <c r="N52" i="29"/>
  <c r="M52" i="29"/>
  <c r="E52" i="29"/>
  <c r="D52" i="29"/>
  <c r="C52" i="29"/>
  <c r="O51" i="29"/>
  <c r="N51" i="29"/>
  <c r="M51" i="29"/>
  <c r="E51" i="29"/>
  <c r="D51" i="29"/>
  <c r="C51" i="29"/>
  <c r="O50" i="29"/>
  <c r="N50" i="29"/>
  <c r="M50" i="29"/>
  <c r="O49" i="29"/>
  <c r="N49" i="29"/>
  <c r="M49" i="29"/>
  <c r="E49" i="29"/>
  <c r="D49" i="29"/>
  <c r="C49" i="29"/>
  <c r="O48" i="29"/>
  <c r="N48" i="29"/>
  <c r="M48" i="29"/>
  <c r="E48" i="29"/>
  <c r="D48" i="29"/>
  <c r="C48" i="29"/>
  <c r="O47" i="29"/>
  <c r="N47" i="29"/>
  <c r="M47" i="29"/>
  <c r="E47" i="29"/>
  <c r="D47" i="29"/>
  <c r="C47" i="29"/>
  <c r="O46" i="29"/>
  <c r="N46" i="29"/>
  <c r="M46" i="29"/>
  <c r="E46" i="29"/>
  <c r="D46" i="29"/>
  <c r="C46" i="29"/>
  <c r="M44" i="29"/>
  <c r="C44" i="29"/>
  <c r="O43" i="29"/>
  <c r="N43" i="29"/>
  <c r="M43" i="29"/>
  <c r="E43" i="29"/>
  <c r="D43" i="29"/>
  <c r="C43" i="29"/>
  <c r="O42" i="29"/>
  <c r="N42" i="29"/>
  <c r="M42" i="29"/>
  <c r="E42" i="29"/>
  <c r="D42" i="29"/>
  <c r="C42" i="29"/>
  <c r="O41" i="29"/>
  <c r="N41" i="29"/>
  <c r="M41" i="29"/>
  <c r="E41" i="29"/>
  <c r="D41" i="29"/>
  <c r="C41" i="29"/>
  <c r="O40" i="29"/>
  <c r="N40" i="29"/>
  <c r="M40" i="29"/>
  <c r="E40" i="29"/>
  <c r="D40" i="29"/>
  <c r="C40" i="29"/>
  <c r="O39" i="29"/>
  <c r="N39" i="29"/>
  <c r="M39" i="29"/>
  <c r="E39" i="29"/>
  <c r="D39" i="29"/>
  <c r="C39" i="29"/>
  <c r="O38" i="29"/>
  <c r="N38" i="29"/>
  <c r="M38" i="29"/>
  <c r="E38" i="29"/>
  <c r="D38" i="29"/>
  <c r="C38" i="29"/>
  <c r="M36" i="29"/>
  <c r="C36" i="29"/>
  <c r="O35" i="29"/>
  <c r="N35" i="29"/>
  <c r="M35" i="29"/>
  <c r="E35" i="29"/>
  <c r="D35" i="29"/>
  <c r="C35" i="29"/>
  <c r="O34" i="29"/>
  <c r="N34" i="29"/>
  <c r="M34" i="29"/>
  <c r="E34" i="29"/>
  <c r="D34" i="29"/>
  <c r="C34" i="29"/>
  <c r="O33" i="29"/>
  <c r="N33" i="29"/>
  <c r="M33" i="29"/>
  <c r="E33" i="29"/>
  <c r="D33" i="29"/>
  <c r="C33" i="29"/>
  <c r="O32" i="29"/>
  <c r="N32" i="29"/>
  <c r="M32" i="29"/>
  <c r="E32" i="29"/>
  <c r="D32" i="29"/>
  <c r="C32" i="29"/>
  <c r="O31" i="29"/>
  <c r="N31" i="29"/>
  <c r="M31" i="29"/>
  <c r="E31" i="29"/>
  <c r="D31" i="29"/>
  <c r="C31" i="29"/>
  <c r="O30" i="29"/>
  <c r="N30" i="29"/>
  <c r="M30" i="29"/>
  <c r="E30" i="29"/>
  <c r="D30" i="29"/>
  <c r="C30" i="29"/>
  <c r="O29" i="29"/>
  <c r="N29" i="29"/>
  <c r="M29" i="29"/>
  <c r="E29" i="29"/>
  <c r="D29" i="29"/>
  <c r="C29" i="29"/>
  <c r="O27" i="29"/>
  <c r="N27" i="29"/>
  <c r="M27" i="29"/>
  <c r="F27" i="29"/>
  <c r="E27" i="29"/>
  <c r="D27" i="29"/>
  <c r="O26" i="29"/>
  <c r="N26" i="29"/>
  <c r="M26" i="29"/>
  <c r="F26" i="29"/>
  <c r="E26" i="29"/>
  <c r="D26" i="29"/>
  <c r="O25" i="29"/>
  <c r="N25" i="29"/>
  <c r="M25" i="29"/>
  <c r="F25" i="29"/>
  <c r="E25" i="29"/>
  <c r="D25" i="29"/>
  <c r="O24" i="29"/>
  <c r="N24" i="29"/>
  <c r="M24" i="29"/>
  <c r="F24" i="29"/>
  <c r="E24" i="29"/>
  <c r="D24" i="29"/>
  <c r="O23" i="29"/>
  <c r="N23" i="29"/>
  <c r="M23" i="29"/>
  <c r="F23" i="29"/>
  <c r="E23" i="29"/>
  <c r="D23" i="29"/>
  <c r="O22" i="29"/>
  <c r="N22" i="29"/>
  <c r="M22" i="29"/>
  <c r="F22" i="29"/>
  <c r="E22" i="29"/>
  <c r="D22" i="29"/>
  <c r="O21" i="29"/>
  <c r="N21" i="29"/>
  <c r="M21" i="29"/>
  <c r="F21" i="29"/>
  <c r="E21" i="29"/>
  <c r="D21" i="29"/>
  <c r="O19" i="29"/>
  <c r="N19" i="29"/>
  <c r="M19" i="29"/>
  <c r="F19" i="29"/>
  <c r="E19" i="29"/>
  <c r="D19" i="29"/>
  <c r="O18" i="29"/>
  <c r="N18" i="29"/>
  <c r="M18" i="29"/>
  <c r="F18" i="29"/>
  <c r="E18" i="29"/>
  <c r="D18" i="29"/>
  <c r="O17" i="29"/>
  <c r="N17" i="29"/>
  <c r="M17" i="29"/>
  <c r="F17" i="29"/>
  <c r="E17" i="29"/>
  <c r="D17" i="29"/>
  <c r="O16" i="29"/>
  <c r="N16" i="29"/>
  <c r="M16" i="29"/>
  <c r="F16" i="29"/>
  <c r="E16" i="29"/>
  <c r="D16" i="29"/>
  <c r="O15" i="29"/>
  <c r="N15" i="29"/>
  <c r="M15" i="29"/>
  <c r="F15" i="29"/>
  <c r="E15" i="29"/>
  <c r="D15" i="29"/>
  <c r="O13" i="29"/>
  <c r="N13" i="29"/>
  <c r="M13" i="29"/>
  <c r="F13" i="29"/>
  <c r="E13" i="29"/>
  <c r="D13" i="29"/>
  <c r="O12" i="29"/>
  <c r="N12" i="29"/>
  <c r="M12" i="29"/>
  <c r="F12" i="29"/>
  <c r="E12" i="29"/>
  <c r="D12" i="29"/>
  <c r="O11" i="29"/>
  <c r="N11" i="29"/>
  <c r="M11" i="29"/>
  <c r="F11" i="29"/>
  <c r="E11" i="29"/>
  <c r="D11" i="29"/>
  <c r="O10" i="29"/>
  <c r="N10" i="29"/>
  <c r="M10" i="29"/>
  <c r="J62" i="28" l="1"/>
  <c r="I62" i="28"/>
  <c r="H62" i="28"/>
  <c r="J61" i="28"/>
  <c r="I61" i="28"/>
  <c r="H61" i="28"/>
  <c r="J60" i="28"/>
  <c r="I60" i="28"/>
  <c r="H60" i="28"/>
  <c r="J59" i="28"/>
  <c r="I59" i="28"/>
  <c r="H59" i="28"/>
  <c r="J58" i="28"/>
  <c r="I58" i="28"/>
  <c r="J56" i="28"/>
  <c r="I56" i="28"/>
  <c r="H56" i="28"/>
  <c r="J55" i="28"/>
  <c r="I55" i="28"/>
  <c r="H55" i="28"/>
  <c r="J54" i="28"/>
  <c r="I54" i="28"/>
  <c r="H54" i="28"/>
  <c r="J53" i="28"/>
  <c r="I53" i="28"/>
  <c r="H53" i="28"/>
  <c r="J51" i="28"/>
  <c r="I51" i="28"/>
  <c r="H51" i="28"/>
  <c r="J50" i="28"/>
  <c r="I50" i="28"/>
  <c r="H50" i="28"/>
  <c r="J49" i="28"/>
  <c r="I49" i="28"/>
  <c r="H49" i="28"/>
  <c r="J48" i="28"/>
  <c r="I48" i="28"/>
  <c r="H48" i="28"/>
  <c r="J47" i="28"/>
  <c r="I47" i="28"/>
  <c r="H47" i="28"/>
  <c r="J46" i="28"/>
  <c r="I46" i="28"/>
  <c r="H46" i="28"/>
  <c r="J44" i="28"/>
  <c r="I44" i="28"/>
  <c r="H44" i="28"/>
  <c r="J43" i="28"/>
  <c r="I43" i="28"/>
  <c r="H43" i="28"/>
  <c r="J42" i="28"/>
  <c r="I42" i="28"/>
  <c r="H42" i="28"/>
  <c r="J41" i="28"/>
  <c r="I41" i="28"/>
  <c r="H41" i="28"/>
  <c r="J39" i="28"/>
  <c r="I39" i="28"/>
  <c r="H39" i="28"/>
  <c r="J38" i="28"/>
  <c r="I38" i="28"/>
  <c r="H38" i="28"/>
  <c r="J37" i="28"/>
  <c r="I37" i="28"/>
  <c r="H37" i="28"/>
  <c r="J35" i="28"/>
  <c r="I35" i="28"/>
  <c r="H35" i="28"/>
  <c r="J34" i="28"/>
  <c r="I34" i="28"/>
  <c r="H34" i="28"/>
  <c r="J33" i="28"/>
  <c r="I33" i="28"/>
  <c r="H33" i="28"/>
  <c r="J32" i="28"/>
  <c r="I32" i="28"/>
  <c r="H32" i="28"/>
  <c r="J31" i="28"/>
  <c r="I31" i="28"/>
  <c r="H31" i="28"/>
  <c r="M30" i="28"/>
  <c r="L30" i="28"/>
  <c r="J30" i="28"/>
  <c r="H30" i="28"/>
  <c r="J28" i="28"/>
  <c r="I28" i="28"/>
  <c r="H28" i="28"/>
  <c r="J27" i="28"/>
  <c r="I27" i="28"/>
  <c r="H27" i="28"/>
  <c r="J26" i="28"/>
  <c r="I26" i="28"/>
  <c r="H26" i="28"/>
  <c r="J25" i="28"/>
  <c r="I25" i="28"/>
  <c r="H25" i="28"/>
  <c r="J23" i="28"/>
  <c r="I23" i="28"/>
  <c r="H23" i="28"/>
  <c r="H22" i="28"/>
  <c r="J21" i="28"/>
  <c r="I21" i="28"/>
  <c r="H21" i="28"/>
  <c r="J20" i="28"/>
  <c r="I20" i="28"/>
  <c r="H20" i="28"/>
  <c r="J19" i="28"/>
  <c r="I19" i="28"/>
  <c r="H19" i="28"/>
  <c r="J17" i="28"/>
  <c r="I17" i="28"/>
  <c r="H17" i="28"/>
  <c r="J16" i="28"/>
  <c r="I16" i="28"/>
  <c r="H16" i="28"/>
  <c r="J15" i="28"/>
  <c r="I15" i="28"/>
  <c r="H15" i="28"/>
  <c r="J14" i="28"/>
  <c r="I14" i="28"/>
  <c r="H14" i="28"/>
  <c r="J12" i="28"/>
  <c r="I12" i="28"/>
  <c r="H12" i="28"/>
  <c r="M11" i="28"/>
  <c r="L11" i="28"/>
  <c r="J11" i="28"/>
  <c r="I11" i="28"/>
  <c r="H11" i="28"/>
  <c r="J10" i="28"/>
  <c r="I10" i="28"/>
  <c r="H10" i="28"/>
  <c r="J8" i="28"/>
  <c r="I8" i="28"/>
  <c r="H8" i="28"/>
  <c r="J7" i="28"/>
  <c r="I7" i="28"/>
  <c r="H7" i="28"/>
  <c r="J6" i="28"/>
  <c r="I6" i="28"/>
  <c r="H6" i="28"/>
  <c r="M92" i="26" l="1"/>
  <c r="P92" i="26" s="1"/>
  <c r="S92" i="26" s="1"/>
  <c r="L92" i="26"/>
  <c r="O92" i="26" s="1"/>
  <c r="K92" i="26"/>
  <c r="N92" i="26" s="1"/>
  <c r="Q92" i="26" s="1"/>
  <c r="H92" i="26"/>
  <c r="G92" i="26"/>
  <c r="F92" i="26"/>
  <c r="P91" i="26"/>
  <c r="O91" i="26"/>
  <c r="N91" i="26"/>
  <c r="W90" i="26"/>
  <c r="R90" i="26"/>
  <c r="P90" i="26"/>
  <c r="O90" i="26"/>
  <c r="N90" i="26"/>
  <c r="Q90" i="26" s="1"/>
  <c r="H90" i="26"/>
  <c r="G90" i="26"/>
  <c r="F90" i="26"/>
  <c r="W89" i="26"/>
  <c r="P89" i="26"/>
  <c r="S89" i="26" s="1"/>
  <c r="O89" i="26"/>
  <c r="R89" i="26" s="1"/>
  <c r="N89" i="26"/>
  <c r="Q89" i="26" s="1"/>
  <c r="H89" i="26"/>
  <c r="G89" i="26"/>
  <c r="F89" i="26"/>
  <c r="W88" i="26"/>
  <c r="M88" i="26"/>
  <c r="P88" i="26" s="1"/>
  <c r="L88" i="26"/>
  <c r="O88" i="26" s="1"/>
  <c r="K88" i="26"/>
  <c r="N88" i="26" s="1"/>
  <c r="Q88" i="26" s="1"/>
  <c r="H88" i="26"/>
  <c r="G88" i="26"/>
  <c r="F88" i="26"/>
  <c r="H87" i="26"/>
  <c r="G87" i="26"/>
  <c r="F87" i="26"/>
  <c r="P86" i="26"/>
  <c r="M86" i="26"/>
  <c r="L86" i="26"/>
  <c r="O86" i="26" s="1"/>
  <c r="K86" i="26"/>
  <c r="N86" i="26" s="1"/>
  <c r="H86" i="26"/>
  <c r="G86" i="26"/>
  <c r="F86" i="26"/>
  <c r="P85" i="26"/>
  <c r="S85" i="26" s="1"/>
  <c r="M85" i="26"/>
  <c r="L85" i="26"/>
  <c r="O85" i="26" s="1"/>
  <c r="K85" i="26"/>
  <c r="N85" i="26" s="1"/>
  <c r="H85" i="26"/>
  <c r="G85" i="26"/>
  <c r="F85" i="26"/>
  <c r="M84" i="26"/>
  <c r="P84" i="26" s="1"/>
  <c r="S84" i="26" s="1"/>
  <c r="L84" i="26"/>
  <c r="O84" i="26" s="1"/>
  <c r="R84" i="26" s="1"/>
  <c r="K84" i="26"/>
  <c r="N84" i="26" s="1"/>
  <c r="Q84" i="26" s="1"/>
  <c r="H84" i="26"/>
  <c r="G84" i="26"/>
  <c r="F84" i="26"/>
  <c r="H83" i="26"/>
  <c r="G83" i="26"/>
  <c r="F83" i="26"/>
  <c r="M82" i="26"/>
  <c r="P82" i="26" s="1"/>
  <c r="S82" i="26" s="1"/>
  <c r="L82" i="26"/>
  <c r="O82" i="26" s="1"/>
  <c r="R82" i="26" s="1"/>
  <c r="K82" i="26"/>
  <c r="N82" i="26" s="1"/>
  <c r="Q82" i="26" s="1"/>
  <c r="H82" i="26"/>
  <c r="G82" i="26"/>
  <c r="F82" i="26"/>
  <c r="P81" i="26"/>
  <c r="S81" i="26" s="1"/>
  <c r="M81" i="26"/>
  <c r="L81" i="26"/>
  <c r="O81" i="26" s="1"/>
  <c r="R81" i="26" s="1"/>
  <c r="K81" i="26"/>
  <c r="N81" i="26" s="1"/>
  <c r="H81" i="26"/>
  <c r="G81" i="26"/>
  <c r="F81" i="26"/>
  <c r="O80" i="26"/>
  <c r="R80" i="26" s="1"/>
  <c r="M80" i="26"/>
  <c r="P80" i="26" s="1"/>
  <c r="S80" i="26" s="1"/>
  <c r="L80" i="26"/>
  <c r="K80" i="26"/>
  <c r="N80" i="26" s="1"/>
  <c r="H80" i="26"/>
  <c r="G80" i="26"/>
  <c r="F80" i="26"/>
  <c r="O79" i="26"/>
  <c r="R79" i="26" s="1"/>
  <c r="M79" i="26"/>
  <c r="P79" i="26" s="1"/>
  <c r="S79" i="26" s="1"/>
  <c r="L79" i="26"/>
  <c r="K79" i="26"/>
  <c r="N79" i="26" s="1"/>
  <c r="Q79" i="26" s="1"/>
  <c r="H79" i="26"/>
  <c r="G79" i="26"/>
  <c r="F79" i="26"/>
  <c r="H78" i="26"/>
  <c r="G78" i="26"/>
  <c r="F78" i="26"/>
  <c r="O77" i="26"/>
  <c r="R77" i="26" s="1"/>
  <c r="N77" i="26"/>
  <c r="Q77" i="26" s="1"/>
  <c r="M77" i="26"/>
  <c r="P77" i="26" s="1"/>
  <c r="S77" i="26" s="1"/>
  <c r="L77" i="26"/>
  <c r="K77" i="26"/>
  <c r="H77" i="26"/>
  <c r="G77" i="26"/>
  <c r="F77" i="26"/>
  <c r="M76" i="26"/>
  <c r="P76" i="26" s="1"/>
  <c r="L76" i="26"/>
  <c r="O76" i="26" s="1"/>
  <c r="R76" i="26" s="1"/>
  <c r="K76" i="26"/>
  <c r="N76" i="26" s="1"/>
  <c r="Q76" i="26" s="1"/>
  <c r="H76" i="26"/>
  <c r="G76" i="26"/>
  <c r="F76" i="26"/>
  <c r="O75" i="26"/>
  <c r="R75" i="26" s="1"/>
  <c r="M75" i="26"/>
  <c r="P75" i="26" s="1"/>
  <c r="L75" i="26"/>
  <c r="K75" i="26"/>
  <c r="N75" i="26" s="1"/>
  <c r="Q75" i="26" s="1"/>
  <c r="H75" i="26"/>
  <c r="G75" i="26"/>
  <c r="F75" i="26"/>
  <c r="N74" i="26"/>
  <c r="Q74" i="26" s="1"/>
  <c r="M74" i="26"/>
  <c r="P74" i="26" s="1"/>
  <c r="S74" i="26" s="1"/>
  <c r="L74" i="26"/>
  <c r="O74" i="26" s="1"/>
  <c r="R74" i="26" s="1"/>
  <c r="K74" i="26"/>
  <c r="H74" i="26"/>
  <c r="G74" i="26"/>
  <c r="F74" i="26"/>
  <c r="O73" i="26"/>
  <c r="R73" i="26" s="1"/>
  <c r="N73" i="26"/>
  <c r="Q73" i="26" s="1"/>
  <c r="M73" i="26"/>
  <c r="P73" i="26" s="1"/>
  <c r="S73" i="26" s="1"/>
  <c r="L73" i="26"/>
  <c r="K73" i="26"/>
  <c r="H73" i="26"/>
  <c r="G73" i="26"/>
  <c r="F73" i="26"/>
  <c r="H72" i="26"/>
  <c r="G72" i="26"/>
  <c r="F72" i="26"/>
  <c r="N71" i="26"/>
  <c r="Q71" i="26" s="1"/>
  <c r="M71" i="26"/>
  <c r="P71" i="26" s="1"/>
  <c r="S71" i="26" s="1"/>
  <c r="L71" i="26"/>
  <c r="O71" i="26" s="1"/>
  <c r="R71" i="26" s="1"/>
  <c r="K71" i="26"/>
  <c r="H71" i="26"/>
  <c r="G71" i="26"/>
  <c r="F71" i="26"/>
  <c r="M70" i="26"/>
  <c r="P70" i="26" s="1"/>
  <c r="L70" i="26"/>
  <c r="O70" i="26" s="1"/>
  <c r="K70" i="26"/>
  <c r="N70" i="26" s="1"/>
  <c r="Q70" i="26" s="1"/>
  <c r="H70" i="26"/>
  <c r="G70" i="26"/>
  <c r="F70" i="26"/>
  <c r="N69" i="26"/>
  <c r="Q69" i="26" s="1"/>
  <c r="M69" i="26"/>
  <c r="P69" i="26" s="1"/>
  <c r="S69" i="26" s="1"/>
  <c r="L69" i="26"/>
  <c r="O69" i="26" s="1"/>
  <c r="R69" i="26" s="1"/>
  <c r="K69" i="26"/>
  <c r="H69" i="26"/>
  <c r="G69" i="26"/>
  <c r="F69" i="26"/>
  <c r="H68" i="26"/>
  <c r="G68" i="26"/>
  <c r="F68" i="26"/>
  <c r="P67" i="26"/>
  <c r="O67" i="26"/>
  <c r="N67" i="26"/>
  <c r="P66" i="26"/>
  <c r="S66" i="26" s="1"/>
  <c r="O66" i="26"/>
  <c r="M66" i="26"/>
  <c r="L66" i="26"/>
  <c r="K66" i="26"/>
  <c r="N66" i="26" s="1"/>
  <c r="H66" i="26"/>
  <c r="G66" i="26"/>
  <c r="F66" i="26"/>
  <c r="O65" i="26"/>
  <c r="R65" i="26" s="1"/>
  <c r="M65" i="26"/>
  <c r="P65" i="26" s="1"/>
  <c r="S65" i="26" s="1"/>
  <c r="L65" i="26"/>
  <c r="K65" i="26"/>
  <c r="N65" i="26" s="1"/>
  <c r="H65" i="26"/>
  <c r="G65" i="26"/>
  <c r="F65" i="26"/>
  <c r="O64" i="26"/>
  <c r="R64" i="26" s="1"/>
  <c r="M64" i="26"/>
  <c r="P64" i="26" s="1"/>
  <c r="S64" i="26" s="1"/>
  <c r="L64" i="26"/>
  <c r="K64" i="26"/>
  <c r="N64" i="26" s="1"/>
  <c r="Q64" i="26" s="1"/>
  <c r="H64" i="26"/>
  <c r="G64" i="26"/>
  <c r="F64" i="26"/>
  <c r="H63" i="26"/>
  <c r="G63" i="26"/>
  <c r="F63" i="26"/>
  <c r="O62" i="26"/>
  <c r="R62" i="26" s="1"/>
  <c r="N62" i="26"/>
  <c r="Q62" i="26" s="1"/>
  <c r="M62" i="26"/>
  <c r="P62" i="26" s="1"/>
  <c r="S62" i="26" s="1"/>
  <c r="L62" i="26"/>
  <c r="K62" i="26"/>
  <c r="H62" i="26"/>
  <c r="G62" i="26"/>
  <c r="F62" i="26"/>
  <c r="M61" i="26"/>
  <c r="P61" i="26" s="1"/>
  <c r="L61" i="26"/>
  <c r="O61" i="26" s="1"/>
  <c r="R61" i="26" s="1"/>
  <c r="K61" i="26"/>
  <c r="N61" i="26" s="1"/>
  <c r="Q61" i="26" s="1"/>
  <c r="H61" i="26"/>
  <c r="G61" i="26"/>
  <c r="F61" i="26"/>
  <c r="P60" i="26"/>
  <c r="O60" i="26"/>
  <c r="N60" i="26"/>
  <c r="M59" i="26"/>
  <c r="P59" i="26" s="1"/>
  <c r="L59" i="26"/>
  <c r="O59" i="26" s="1"/>
  <c r="K59" i="26"/>
  <c r="N59" i="26" s="1"/>
  <c r="H59" i="26"/>
  <c r="G59" i="26"/>
  <c r="F59" i="26"/>
  <c r="H58" i="26"/>
  <c r="G58" i="26"/>
  <c r="F58" i="26"/>
  <c r="M57" i="26"/>
  <c r="P57" i="26" s="1"/>
  <c r="L57" i="26"/>
  <c r="O57" i="26" s="1"/>
  <c r="K57" i="26"/>
  <c r="N57" i="26" s="1"/>
  <c r="H57" i="26"/>
  <c r="G57" i="26"/>
  <c r="F57" i="26"/>
  <c r="P56" i="26"/>
  <c r="O56" i="26"/>
  <c r="N56" i="26"/>
  <c r="P55" i="26"/>
  <c r="O55" i="26"/>
  <c r="N55" i="26"/>
  <c r="P54" i="26"/>
  <c r="O54" i="26"/>
  <c r="N54" i="26"/>
  <c r="M53" i="26"/>
  <c r="P53" i="26" s="1"/>
  <c r="L53" i="26"/>
  <c r="O53" i="26" s="1"/>
  <c r="R53" i="26" s="1"/>
  <c r="K53" i="26"/>
  <c r="N53" i="26" s="1"/>
  <c r="H53" i="26"/>
  <c r="G53" i="26"/>
  <c r="F53" i="26"/>
  <c r="M52" i="26"/>
  <c r="P52" i="26" s="1"/>
  <c r="L52" i="26"/>
  <c r="O52" i="26" s="1"/>
  <c r="K52" i="26"/>
  <c r="N52" i="26" s="1"/>
  <c r="Q52" i="26" s="1"/>
  <c r="H52" i="26"/>
  <c r="G52" i="26"/>
  <c r="R52" i="26" s="1"/>
  <c r="F52" i="26"/>
  <c r="N51" i="26"/>
  <c r="M51" i="26"/>
  <c r="P51" i="26" s="1"/>
  <c r="S51" i="26" s="1"/>
  <c r="L51" i="26"/>
  <c r="O51" i="26" s="1"/>
  <c r="R51" i="26" s="1"/>
  <c r="K51" i="26"/>
  <c r="H51" i="26"/>
  <c r="G51" i="26"/>
  <c r="F51" i="26"/>
  <c r="H50" i="26"/>
  <c r="G50" i="26"/>
  <c r="F50" i="26"/>
  <c r="M49" i="26"/>
  <c r="P49" i="26" s="1"/>
  <c r="S49" i="26" s="1"/>
  <c r="L49" i="26"/>
  <c r="O49" i="26" s="1"/>
  <c r="K49" i="26"/>
  <c r="N49" i="26" s="1"/>
  <c r="Q49" i="26" s="1"/>
  <c r="H49" i="26"/>
  <c r="G49" i="26"/>
  <c r="F49" i="26"/>
  <c r="M48" i="26"/>
  <c r="P48" i="26" s="1"/>
  <c r="S48" i="26" s="1"/>
  <c r="L48" i="26"/>
  <c r="O48" i="26" s="1"/>
  <c r="K48" i="26"/>
  <c r="N48" i="26" s="1"/>
  <c r="H48" i="26"/>
  <c r="G48" i="26"/>
  <c r="F48" i="26"/>
  <c r="O47" i="26"/>
  <c r="M47" i="26"/>
  <c r="P47" i="26" s="1"/>
  <c r="S47" i="26" s="1"/>
  <c r="L47" i="26"/>
  <c r="K47" i="26"/>
  <c r="N47" i="26" s="1"/>
  <c r="Q47" i="26" s="1"/>
  <c r="H47" i="26"/>
  <c r="G47" i="26"/>
  <c r="F47" i="26"/>
  <c r="M46" i="26"/>
  <c r="P46" i="26" s="1"/>
  <c r="S46" i="26" s="1"/>
  <c r="L46" i="26"/>
  <c r="O46" i="26" s="1"/>
  <c r="K46" i="26"/>
  <c r="N46" i="26" s="1"/>
  <c r="H46" i="26"/>
  <c r="G46" i="26"/>
  <c r="F46" i="26"/>
  <c r="M45" i="26"/>
  <c r="P45" i="26" s="1"/>
  <c r="S45" i="26" s="1"/>
  <c r="L45" i="26"/>
  <c r="O45" i="26" s="1"/>
  <c r="K45" i="26"/>
  <c r="N45" i="26" s="1"/>
  <c r="Q45" i="26" s="1"/>
  <c r="H45" i="26"/>
  <c r="G45" i="26"/>
  <c r="F45" i="26"/>
  <c r="H44" i="26"/>
  <c r="G44" i="26"/>
  <c r="F44" i="26"/>
  <c r="P43" i="26"/>
  <c r="S43" i="26" s="1"/>
  <c r="O43" i="26"/>
  <c r="R43" i="26" s="1"/>
  <c r="M43" i="26"/>
  <c r="L43" i="26"/>
  <c r="K43" i="26"/>
  <c r="N43" i="26" s="1"/>
  <c r="Q43" i="26" s="1"/>
  <c r="H43" i="26"/>
  <c r="G43" i="26"/>
  <c r="F43" i="26"/>
  <c r="P42" i="26"/>
  <c r="O42" i="26"/>
  <c r="N42" i="26"/>
  <c r="O41" i="26"/>
  <c r="N41" i="26"/>
  <c r="Q41" i="26" s="1"/>
  <c r="M41" i="26"/>
  <c r="P41" i="26" s="1"/>
  <c r="S41" i="26" s="1"/>
  <c r="L41" i="26"/>
  <c r="K41" i="26"/>
  <c r="H41" i="26"/>
  <c r="G41" i="26"/>
  <c r="F41" i="26"/>
  <c r="M40" i="26"/>
  <c r="P40" i="26" s="1"/>
  <c r="L40" i="26"/>
  <c r="O40" i="26" s="1"/>
  <c r="K40" i="26"/>
  <c r="N40" i="26" s="1"/>
  <c r="H40" i="26"/>
  <c r="G40" i="26"/>
  <c r="F40" i="26"/>
  <c r="M39" i="26"/>
  <c r="P39" i="26" s="1"/>
  <c r="S39" i="26" s="1"/>
  <c r="L39" i="26"/>
  <c r="O39" i="26" s="1"/>
  <c r="R39" i="26" s="1"/>
  <c r="K39" i="26"/>
  <c r="N39" i="26" s="1"/>
  <c r="Q39" i="26" s="1"/>
  <c r="H39" i="26"/>
  <c r="G39" i="26"/>
  <c r="F39" i="26"/>
  <c r="M38" i="26"/>
  <c r="P38" i="26" s="1"/>
  <c r="L38" i="26"/>
  <c r="O38" i="26" s="1"/>
  <c r="R38" i="26" s="1"/>
  <c r="K38" i="26"/>
  <c r="N38" i="26" s="1"/>
  <c r="Q38" i="26" s="1"/>
  <c r="H38" i="26"/>
  <c r="G38" i="26"/>
  <c r="F38" i="26"/>
  <c r="O37" i="26"/>
  <c r="M37" i="26"/>
  <c r="P37" i="26" s="1"/>
  <c r="S37" i="26" s="1"/>
  <c r="L37" i="26"/>
  <c r="K37" i="26"/>
  <c r="N37" i="26" s="1"/>
  <c r="Q37" i="26" s="1"/>
  <c r="H37" i="26"/>
  <c r="G37" i="26"/>
  <c r="R37" i="26" s="1"/>
  <c r="F37" i="26"/>
  <c r="H36" i="26"/>
  <c r="G36" i="26"/>
  <c r="F36" i="26"/>
  <c r="M35" i="26"/>
  <c r="P35" i="26" s="1"/>
  <c r="L35" i="26"/>
  <c r="O35" i="26" s="1"/>
  <c r="R35" i="26" s="1"/>
  <c r="K35" i="26"/>
  <c r="N35" i="26" s="1"/>
  <c r="Q35" i="26" s="1"/>
  <c r="H35" i="26"/>
  <c r="G35" i="26"/>
  <c r="F35" i="26"/>
  <c r="N34" i="26"/>
  <c r="M34" i="26"/>
  <c r="P34" i="26" s="1"/>
  <c r="S34" i="26" s="1"/>
  <c r="L34" i="26"/>
  <c r="O34" i="26" s="1"/>
  <c r="R34" i="26" s="1"/>
  <c r="K34" i="26"/>
  <c r="H34" i="26"/>
  <c r="G34" i="26"/>
  <c r="F34" i="26"/>
  <c r="P33" i="26"/>
  <c r="M33" i="26"/>
  <c r="L33" i="26"/>
  <c r="O33" i="26" s="1"/>
  <c r="K33" i="26"/>
  <c r="N33" i="26" s="1"/>
  <c r="Q33" i="26" s="1"/>
  <c r="H33" i="26"/>
  <c r="G33" i="26"/>
  <c r="F33" i="26"/>
  <c r="K32" i="26"/>
  <c r="N32" i="26" s="1"/>
  <c r="Q32" i="26" s="1"/>
  <c r="F32" i="26"/>
  <c r="K31" i="26"/>
  <c r="N31" i="26" s="1"/>
  <c r="F31" i="26"/>
  <c r="K30" i="26"/>
  <c r="N30" i="26" s="1"/>
  <c r="Q30" i="26" s="1"/>
  <c r="F30" i="26"/>
  <c r="K29" i="26"/>
  <c r="N29" i="26" s="1"/>
  <c r="Q29" i="26" s="1"/>
  <c r="F29" i="26"/>
  <c r="N28" i="26"/>
  <c r="K27" i="26"/>
  <c r="N27" i="26" s="1"/>
  <c r="Q27" i="26" s="1"/>
  <c r="F27" i="26"/>
  <c r="K26" i="26"/>
  <c r="N26" i="26" s="1"/>
  <c r="Q26" i="26" s="1"/>
  <c r="F26" i="26"/>
  <c r="K25" i="26"/>
  <c r="N25" i="26" s="1"/>
  <c r="Q25" i="26" s="1"/>
  <c r="F25" i="26"/>
  <c r="K24" i="26"/>
  <c r="N24" i="26" s="1"/>
  <c r="Q24" i="26" s="1"/>
  <c r="F24" i="26"/>
  <c r="N23" i="26"/>
  <c r="Q23" i="26" s="1"/>
  <c r="F23" i="26"/>
  <c r="N22" i="26"/>
  <c r="Q21" i="26"/>
  <c r="N21" i="26"/>
  <c r="F21" i="26"/>
  <c r="N20" i="26"/>
  <c r="F20" i="26"/>
  <c r="N19" i="26"/>
  <c r="F19" i="26"/>
  <c r="Q19" i="26" s="1"/>
  <c r="N18" i="26"/>
  <c r="N17" i="26"/>
  <c r="F17" i="26"/>
  <c r="N16" i="26"/>
  <c r="Q16" i="26" s="1"/>
  <c r="F16" i="26"/>
  <c r="N15" i="26"/>
  <c r="F15" i="26"/>
  <c r="N14" i="26"/>
  <c r="N13" i="26"/>
  <c r="N12" i="26"/>
  <c r="N11" i="26"/>
  <c r="N10" i="26"/>
  <c r="F10" i="26"/>
  <c r="N9" i="26"/>
  <c r="Q9" i="26" s="1"/>
  <c r="F9" i="26"/>
  <c r="N8" i="26"/>
  <c r="Q8" i="26" s="1"/>
  <c r="K8" i="26"/>
  <c r="F8" i="26"/>
  <c r="K7" i="26"/>
  <c r="N7" i="26" s="1"/>
  <c r="Q7" i="26" s="1"/>
  <c r="F7" i="26"/>
  <c r="K6" i="26"/>
  <c r="N6" i="26" s="1"/>
  <c r="Q6" i="26" s="1"/>
  <c r="F6" i="26"/>
  <c r="Q86" i="26" l="1"/>
  <c r="Q17" i="26"/>
  <c r="R33" i="26"/>
  <c r="Q40" i="26"/>
  <c r="Q46" i="26"/>
  <c r="S53" i="26"/>
  <c r="Q59" i="26"/>
  <c r="R40" i="26"/>
  <c r="R46" i="26"/>
  <c r="Q66" i="26"/>
  <c r="R70" i="26"/>
  <c r="Q81" i="26"/>
  <c r="R88" i="26"/>
  <c r="S40" i="26"/>
  <c r="Q48" i="26"/>
  <c r="S59" i="26"/>
  <c r="S70" i="26"/>
  <c r="Q85" i="26"/>
  <c r="R86" i="26"/>
  <c r="S88" i="26"/>
  <c r="R48" i="26"/>
  <c r="Q34" i="26"/>
  <c r="Q51" i="26"/>
  <c r="S57" i="26"/>
  <c r="Q65" i="26"/>
  <c r="R66" i="26"/>
  <c r="Q80" i="26"/>
  <c r="Q31" i="26"/>
  <c r="R41" i="26"/>
  <c r="S86" i="26"/>
  <c r="W91" i="26"/>
  <c r="R85" i="26"/>
  <c r="R92" i="26"/>
  <c r="Q53" i="26"/>
  <c r="Q15" i="26"/>
  <c r="S38" i="26"/>
  <c r="Q20" i="26"/>
  <c r="S33" i="26"/>
  <c r="R45" i="26"/>
  <c r="R49" i="26"/>
  <c r="R57" i="26"/>
  <c r="Q10" i="26"/>
  <c r="Q57" i="26"/>
  <c r="S75" i="26"/>
  <c r="S90" i="26"/>
  <c r="S35" i="26"/>
  <c r="R47" i="26"/>
  <c r="S52" i="26"/>
  <c r="R59" i="26"/>
  <c r="S61" i="26"/>
  <c r="S76" i="26"/>
  <c r="I26" i="24" l="1"/>
  <c r="P26" i="24" s="1"/>
  <c r="H26" i="24"/>
  <c r="O26" i="24" s="1"/>
  <c r="P25" i="24"/>
  <c r="H25" i="24"/>
  <c r="O25" i="24" s="1"/>
  <c r="I24" i="24"/>
  <c r="P24" i="24" s="1"/>
  <c r="H24" i="24"/>
  <c r="O24" i="24" s="1"/>
  <c r="O23" i="24"/>
  <c r="H23" i="24"/>
  <c r="G23" i="24"/>
  <c r="N23" i="24" s="1"/>
  <c r="I22" i="24"/>
  <c r="P22" i="24" s="1"/>
  <c r="H22" i="24"/>
  <c r="O22" i="24" s="1"/>
  <c r="G22" i="24"/>
  <c r="N22" i="24" s="1"/>
  <c r="I21" i="24"/>
  <c r="P21" i="24" s="1"/>
  <c r="H21" i="24"/>
  <c r="O21" i="24" s="1"/>
  <c r="G21" i="24"/>
  <c r="N21" i="24" s="1"/>
  <c r="I20" i="24"/>
  <c r="P20" i="24" s="1"/>
  <c r="H20" i="24"/>
  <c r="O20" i="24" s="1"/>
  <c r="G20" i="24"/>
  <c r="N20" i="24" s="1"/>
  <c r="H19" i="24"/>
  <c r="O19" i="24" s="1"/>
  <c r="G19" i="24"/>
  <c r="N19" i="24" s="1"/>
  <c r="I18" i="24"/>
  <c r="P18" i="24" s="1"/>
  <c r="H18" i="24"/>
  <c r="G18" i="24"/>
  <c r="N18" i="24" s="1"/>
  <c r="N17" i="24"/>
  <c r="I17" i="24"/>
  <c r="P17" i="24" s="1"/>
  <c r="H17" i="24"/>
  <c r="O17" i="24" s="1"/>
  <c r="G17" i="24"/>
  <c r="I16" i="24"/>
  <c r="P16" i="24" s="1"/>
  <c r="G16" i="24"/>
  <c r="N16" i="24" s="1"/>
  <c r="I15" i="24"/>
  <c r="P15" i="24" s="1"/>
  <c r="H15" i="24"/>
  <c r="G15" i="24"/>
  <c r="N15" i="24" s="1"/>
  <c r="N14" i="24"/>
  <c r="I14" i="24"/>
  <c r="P14" i="24" s="1"/>
  <c r="H14" i="24"/>
  <c r="G14" i="24"/>
  <c r="H13" i="24"/>
  <c r="O13" i="24" s="1"/>
  <c r="G13" i="24"/>
  <c r="N13" i="24" s="1"/>
  <c r="R12" i="24"/>
  <c r="N12" i="24"/>
  <c r="K12" i="24"/>
  <c r="J12" i="24"/>
  <c r="Q12" i="24" s="1"/>
  <c r="I12" i="24"/>
  <c r="P12" i="24" s="1"/>
  <c r="H12" i="24"/>
  <c r="O12" i="24" s="1"/>
  <c r="G12" i="24"/>
  <c r="N11" i="24"/>
  <c r="K11" i="24"/>
  <c r="R11" i="24" s="1"/>
  <c r="J11" i="24"/>
  <c r="Q11" i="24" s="1"/>
  <c r="I11" i="24"/>
  <c r="P11" i="24" s="1"/>
  <c r="H11" i="24"/>
  <c r="O11" i="24" s="1"/>
  <c r="G11" i="24"/>
  <c r="K10" i="24"/>
  <c r="R10" i="24" s="1"/>
  <c r="J10" i="24"/>
  <c r="Q10" i="24" s="1"/>
  <c r="I10" i="24"/>
  <c r="P10" i="24" s="1"/>
  <c r="H10" i="24"/>
  <c r="O10" i="24" s="1"/>
  <c r="G10" i="24"/>
  <c r="N10" i="24" s="1"/>
  <c r="H9" i="24"/>
  <c r="O9" i="24" s="1"/>
  <c r="G9" i="24"/>
  <c r="N9" i="24" s="1"/>
  <c r="N8" i="24"/>
  <c r="I8" i="24"/>
  <c r="P8" i="24" s="1"/>
  <c r="H8" i="24"/>
  <c r="O8" i="24" s="1"/>
  <c r="N7" i="24"/>
  <c r="K7" i="24"/>
  <c r="R7" i="24" s="1"/>
  <c r="J7" i="24"/>
  <c r="Q7" i="24" s="1"/>
  <c r="I7" i="24"/>
  <c r="P7" i="24" s="1"/>
  <c r="H7" i="24"/>
  <c r="O7" i="24" s="1"/>
  <c r="N6" i="24"/>
  <c r="K6" i="24"/>
  <c r="R6" i="24" s="1"/>
  <c r="J6" i="24"/>
  <c r="Q6" i="24" s="1"/>
  <c r="I6" i="24"/>
  <c r="P6" i="24" s="1"/>
  <c r="H6" i="24"/>
  <c r="N5" i="24"/>
  <c r="H5" i="24"/>
  <c r="O5" i="24" s="1"/>
  <c r="K95" i="23"/>
  <c r="J95" i="23"/>
  <c r="I95" i="23"/>
  <c r="K94" i="23"/>
  <c r="J94" i="23"/>
  <c r="I94" i="23"/>
  <c r="K93" i="23"/>
  <c r="J93" i="23"/>
  <c r="I93" i="23"/>
  <c r="K92" i="23"/>
  <c r="J92" i="23"/>
  <c r="I92" i="23"/>
  <c r="K91" i="23"/>
  <c r="J91" i="23"/>
  <c r="I91" i="23"/>
  <c r="K89" i="23"/>
  <c r="J89" i="23"/>
  <c r="I89" i="23"/>
  <c r="K88" i="23"/>
  <c r="J88" i="23"/>
  <c r="I88" i="23"/>
  <c r="K87" i="23"/>
  <c r="J87" i="23"/>
  <c r="I87" i="23"/>
  <c r="K86" i="23"/>
  <c r="J86" i="23"/>
  <c r="I86" i="23"/>
  <c r="K85" i="23"/>
  <c r="J85" i="23"/>
  <c r="I85" i="23"/>
  <c r="K83" i="23"/>
  <c r="J83" i="23"/>
  <c r="I83" i="23"/>
  <c r="K82" i="23"/>
  <c r="J82" i="23"/>
  <c r="I82" i="23"/>
  <c r="K81" i="23"/>
  <c r="J81" i="23"/>
  <c r="I81" i="23"/>
  <c r="K80" i="23"/>
  <c r="J80" i="23"/>
  <c r="I80" i="23"/>
  <c r="K74" i="23"/>
  <c r="J74" i="23"/>
  <c r="I74" i="23"/>
  <c r="K73" i="23"/>
  <c r="J73" i="23"/>
  <c r="I73" i="23"/>
  <c r="K72" i="23"/>
  <c r="J72" i="23"/>
  <c r="I72" i="23"/>
  <c r="K71" i="23"/>
  <c r="J71" i="23"/>
  <c r="I71" i="23"/>
  <c r="K69" i="23"/>
  <c r="J69" i="23"/>
  <c r="I69" i="23"/>
  <c r="K68" i="23"/>
  <c r="J68" i="23"/>
  <c r="I68" i="23"/>
  <c r="K67" i="23"/>
  <c r="J67" i="23"/>
  <c r="I67" i="23"/>
  <c r="K66" i="23"/>
  <c r="J66" i="23"/>
  <c r="I66" i="23"/>
  <c r="J64" i="23"/>
  <c r="I64" i="23"/>
  <c r="K63" i="23"/>
  <c r="J63" i="23"/>
  <c r="I63" i="23"/>
  <c r="K60" i="23"/>
  <c r="J60" i="23"/>
  <c r="I60" i="23"/>
  <c r="K58" i="23"/>
  <c r="J58" i="23"/>
  <c r="I58" i="23"/>
  <c r="K57" i="23"/>
  <c r="J57" i="23"/>
  <c r="I57" i="23"/>
  <c r="K56" i="23"/>
  <c r="J56" i="23"/>
  <c r="I56" i="23"/>
  <c r="K55" i="23"/>
  <c r="J55" i="23"/>
  <c r="I55" i="23"/>
  <c r="K54" i="23"/>
  <c r="J54" i="23"/>
  <c r="I54" i="23"/>
  <c r="K52" i="23"/>
  <c r="J52" i="23"/>
  <c r="I52" i="23"/>
  <c r="K51" i="23"/>
  <c r="J51" i="23"/>
  <c r="I51" i="23"/>
  <c r="K50" i="23"/>
  <c r="J50" i="23"/>
  <c r="I50" i="23"/>
  <c r="K49" i="23"/>
  <c r="J49" i="23"/>
  <c r="I49" i="23"/>
  <c r="K48" i="23"/>
  <c r="J48" i="23"/>
  <c r="I48" i="23"/>
  <c r="K46" i="23"/>
  <c r="J46" i="23"/>
  <c r="I46" i="23"/>
  <c r="K45" i="23"/>
  <c r="J45" i="23"/>
  <c r="I45" i="23"/>
  <c r="K44" i="23"/>
  <c r="J44" i="23"/>
  <c r="I44" i="23"/>
  <c r="K43" i="23"/>
  <c r="J43" i="23"/>
  <c r="I43" i="23"/>
  <c r="K41" i="23"/>
  <c r="J41" i="23"/>
  <c r="I41" i="23"/>
  <c r="K40" i="23"/>
  <c r="J40" i="23"/>
  <c r="I40" i="23"/>
  <c r="I39" i="23"/>
  <c r="I38" i="23"/>
  <c r="I37" i="23"/>
  <c r="I36" i="23"/>
  <c r="K34" i="23"/>
  <c r="J34" i="23"/>
  <c r="I34" i="23"/>
  <c r="K33" i="23"/>
  <c r="J33" i="23"/>
  <c r="I33" i="23"/>
  <c r="K31" i="23"/>
  <c r="J31" i="23"/>
  <c r="I31" i="23"/>
  <c r="K28" i="23"/>
  <c r="J28" i="23"/>
  <c r="I28" i="23"/>
  <c r="K27" i="23"/>
  <c r="J27" i="23"/>
  <c r="I27" i="23"/>
  <c r="K26" i="23"/>
  <c r="J26" i="23"/>
  <c r="I26" i="23"/>
  <c r="K25" i="23"/>
  <c r="J25" i="23"/>
  <c r="I25" i="23"/>
  <c r="K23" i="23"/>
  <c r="J23" i="23"/>
  <c r="I23" i="23"/>
  <c r="K22" i="23"/>
  <c r="J22" i="23"/>
  <c r="I22" i="23"/>
  <c r="K21" i="23"/>
  <c r="J21" i="23"/>
  <c r="I21" i="23"/>
  <c r="K20" i="23"/>
  <c r="J20" i="23"/>
  <c r="I20" i="23"/>
  <c r="K19" i="23"/>
  <c r="J19" i="23"/>
  <c r="I19" i="23"/>
  <c r="K18" i="23"/>
  <c r="J18" i="23"/>
  <c r="I18" i="23"/>
  <c r="K17" i="23"/>
  <c r="J17" i="23"/>
  <c r="I17" i="23"/>
  <c r="K16" i="23"/>
  <c r="J16" i="23"/>
  <c r="I16" i="23"/>
  <c r="K14" i="23"/>
  <c r="J14" i="23"/>
  <c r="I14" i="23"/>
  <c r="K13" i="23"/>
  <c r="J13" i="23"/>
  <c r="I13" i="23"/>
  <c r="K12" i="23"/>
  <c r="J12" i="23"/>
  <c r="I12" i="23"/>
  <c r="K11" i="23"/>
  <c r="J11" i="23"/>
  <c r="I11" i="23"/>
  <c r="K10" i="23"/>
  <c r="J10" i="23"/>
  <c r="I10" i="23"/>
  <c r="K9" i="23"/>
  <c r="J9" i="23"/>
  <c r="I9" i="23"/>
  <c r="K8" i="23"/>
  <c r="J8" i="23"/>
  <c r="I8" i="23"/>
  <c r="K7" i="23"/>
  <c r="J7" i="23"/>
  <c r="I7" i="23"/>
  <c r="H261" i="21" l="1"/>
  <c r="K261" i="21" s="1"/>
  <c r="J260" i="21"/>
  <c r="M260" i="21" s="1"/>
  <c r="I260" i="21"/>
  <c r="L260" i="21" s="1"/>
  <c r="H260" i="21"/>
  <c r="K260" i="21" s="1"/>
  <c r="K259" i="21"/>
  <c r="J259" i="21"/>
  <c r="M259" i="21" s="1"/>
  <c r="I259" i="21"/>
  <c r="L259" i="21" s="1"/>
  <c r="L258" i="21"/>
  <c r="K258" i="21"/>
  <c r="J258" i="21"/>
  <c r="M258" i="21" s="1"/>
  <c r="I258" i="21"/>
  <c r="K257" i="21"/>
  <c r="J257" i="21"/>
  <c r="M257" i="21" s="1"/>
  <c r="I257" i="21"/>
  <c r="L257" i="21" s="1"/>
  <c r="K256" i="21"/>
  <c r="J256" i="21"/>
  <c r="M256" i="21" s="1"/>
  <c r="I256" i="21"/>
  <c r="L256" i="21" s="1"/>
  <c r="H254" i="21"/>
  <c r="K254" i="21" s="1"/>
  <c r="J253" i="21"/>
  <c r="I253" i="21"/>
  <c r="L253" i="21" s="1"/>
  <c r="H253" i="21"/>
  <c r="K252" i="21"/>
  <c r="J252" i="21"/>
  <c r="M252" i="21" s="1"/>
  <c r="I252" i="21"/>
  <c r="L252" i="21" s="1"/>
  <c r="J251" i="21"/>
  <c r="M251" i="21" s="1"/>
  <c r="I251" i="21"/>
  <c r="L251" i="21" s="1"/>
  <c r="H251" i="21"/>
  <c r="K250" i="21"/>
  <c r="J250" i="21"/>
  <c r="I250" i="21"/>
  <c r="L250" i="21" s="1"/>
  <c r="H248" i="21"/>
  <c r="K248" i="21" s="1"/>
  <c r="J247" i="21"/>
  <c r="M247" i="21" s="1"/>
  <c r="I247" i="21"/>
  <c r="H247" i="21"/>
  <c r="K247" i="21" s="1"/>
  <c r="K246" i="21"/>
  <c r="J246" i="21"/>
  <c r="M246" i="21" s="1"/>
  <c r="I246" i="21"/>
  <c r="K245" i="21"/>
  <c r="J245" i="21"/>
  <c r="I245" i="21"/>
  <c r="L245" i="21" s="1"/>
  <c r="M244" i="21"/>
  <c r="K244" i="21"/>
  <c r="J244" i="21"/>
  <c r="I244" i="21"/>
  <c r="K243" i="21"/>
  <c r="J243" i="21"/>
  <c r="I243" i="21"/>
  <c r="L243" i="21" s="1"/>
  <c r="K242" i="21"/>
  <c r="J242" i="21"/>
  <c r="M242" i="21" s="1"/>
  <c r="I242" i="21"/>
  <c r="M241" i="21"/>
  <c r="L241" i="21"/>
  <c r="J241" i="21"/>
  <c r="I241" i="21"/>
  <c r="H241" i="21"/>
  <c r="K241" i="21" s="1"/>
  <c r="K239" i="21"/>
  <c r="H239" i="21"/>
  <c r="M238" i="21"/>
  <c r="J238" i="21"/>
  <c r="I238" i="21"/>
  <c r="H238" i="21"/>
  <c r="K237" i="21"/>
  <c r="J237" i="21"/>
  <c r="M237" i="21" s="1"/>
  <c r="I237" i="21"/>
  <c r="J236" i="21"/>
  <c r="I236" i="21"/>
  <c r="H236" i="21"/>
  <c r="K236" i="21" s="1"/>
  <c r="K235" i="21"/>
  <c r="J235" i="21"/>
  <c r="M235" i="21" s="1"/>
  <c r="I235" i="21"/>
  <c r="L235" i="21" s="1"/>
  <c r="K234" i="21"/>
  <c r="J234" i="21"/>
  <c r="I234" i="21"/>
  <c r="L234" i="21" s="1"/>
  <c r="K233" i="21"/>
  <c r="J233" i="21"/>
  <c r="M233" i="21" s="1"/>
  <c r="I233" i="21"/>
  <c r="L233" i="21" s="1"/>
  <c r="H231" i="21"/>
  <c r="K231" i="21" s="1"/>
  <c r="J230" i="21"/>
  <c r="I230" i="21"/>
  <c r="L230" i="21" s="1"/>
  <c r="H230" i="21"/>
  <c r="K230" i="21" s="1"/>
  <c r="K229" i="21"/>
  <c r="J229" i="21"/>
  <c r="I229" i="21"/>
  <c r="L229" i="21" s="1"/>
  <c r="K228" i="21"/>
  <c r="J228" i="21"/>
  <c r="M228" i="21" s="1"/>
  <c r="I228" i="21"/>
  <c r="L228" i="21" s="1"/>
  <c r="K227" i="21"/>
  <c r="J227" i="21"/>
  <c r="I227" i="21"/>
  <c r="L227" i="21" s="1"/>
  <c r="H225" i="21"/>
  <c r="K225" i="21" s="1"/>
  <c r="J224" i="21"/>
  <c r="M224" i="21" s="1"/>
  <c r="I224" i="21"/>
  <c r="H224" i="21"/>
  <c r="K224" i="21" s="1"/>
  <c r="K223" i="21"/>
  <c r="J223" i="21"/>
  <c r="M223" i="21" s="1"/>
  <c r="I223" i="21"/>
  <c r="L223" i="21" s="1"/>
  <c r="L222" i="21"/>
  <c r="K222" i="21"/>
  <c r="J222" i="21"/>
  <c r="I222" i="21"/>
  <c r="K221" i="21"/>
  <c r="J221" i="21"/>
  <c r="M221" i="21" s="1"/>
  <c r="I221" i="21"/>
  <c r="L221" i="21" s="1"/>
  <c r="K220" i="21"/>
  <c r="J220" i="21"/>
  <c r="I220" i="21"/>
  <c r="L220" i="21" s="1"/>
  <c r="L219" i="21"/>
  <c r="K219" i="21"/>
  <c r="J219" i="21"/>
  <c r="M219" i="21" s="1"/>
  <c r="I219" i="21"/>
  <c r="K218" i="21"/>
  <c r="J218" i="21"/>
  <c r="I218" i="21"/>
  <c r="L218" i="21" s="1"/>
  <c r="H216" i="21"/>
  <c r="K216" i="21" s="1"/>
  <c r="K215" i="21"/>
  <c r="J215" i="21"/>
  <c r="M215" i="21" s="1"/>
  <c r="I215" i="21"/>
  <c r="K214" i="21"/>
  <c r="J214" i="21"/>
  <c r="I214" i="21"/>
  <c r="K213" i="21"/>
  <c r="J213" i="21"/>
  <c r="M213" i="21" s="1"/>
  <c r="I213" i="21"/>
  <c r="K212" i="21"/>
  <c r="J212" i="21"/>
  <c r="I212" i="21"/>
  <c r="K211" i="21"/>
  <c r="J211" i="21"/>
  <c r="M211" i="21" s="1"/>
  <c r="I211" i="21"/>
  <c r="H209" i="21"/>
  <c r="J208" i="21"/>
  <c r="M208" i="21" s="1"/>
  <c r="I208" i="21"/>
  <c r="L208" i="21" s="1"/>
  <c r="H208" i="21"/>
  <c r="K208" i="21" s="1"/>
  <c r="K207" i="21"/>
  <c r="J207" i="21"/>
  <c r="I207" i="21"/>
  <c r="L207" i="21" s="1"/>
  <c r="K206" i="21"/>
  <c r="J206" i="21"/>
  <c r="M206" i="21" s="1"/>
  <c r="I206" i="21"/>
  <c r="L206" i="21" s="1"/>
  <c r="K205" i="21"/>
  <c r="J205" i="21"/>
  <c r="I205" i="21"/>
  <c r="L205" i="21" s="1"/>
  <c r="J203" i="21"/>
  <c r="M203" i="21" s="1"/>
  <c r="I203" i="21"/>
  <c r="L203" i="21" s="1"/>
  <c r="H203" i="21"/>
  <c r="K203" i="21" s="1"/>
  <c r="K202" i="21"/>
  <c r="J202" i="21"/>
  <c r="I202" i="21"/>
  <c r="L202" i="21" s="1"/>
  <c r="K201" i="21"/>
  <c r="J201" i="21"/>
  <c r="M201" i="21" s="1"/>
  <c r="I201" i="21"/>
  <c r="L201" i="21" s="1"/>
  <c r="J200" i="21"/>
  <c r="I200" i="21"/>
  <c r="L200" i="21" s="1"/>
  <c r="H200" i="21"/>
  <c r="K199" i="21"/>
  <c r="J199" i="21"/>
  <c r="M199" i="21" s="1"/>
  <c r="I199" i="21"/>
  <c r="L199" i="21" s="1"/>
  <c r="K198" i="21"/>
  <c r="J198" i="21"/>
  <c r="M198" i="21" s="1"/>
  <c r="I198" i="21"/>
  <c r="L198" i="21" s="1"/>
  <c r="K197" i="21"/>
  <c r="J197" i="21"/>
  <c r="M197" i="21" s="1"/>
  <c r="I197" i="21"/>
  <c r="L197" i="21" s="1"/>
  <c r="K196" i="21"/>
  <c r="J196" i="21"/>
  <c r="M196" i="21" s="1"/>
  <c r="I196" i="21"/>
  <c r="L196" i="21" s="1"/>
  <c r="J193" i="21"/>
  <c r="M193" i="21" s="1"/>
  <c r="I193" i="21"/>
  <c r="L193" i="21" s="1"/>
  <c r="H193" i="21"/>
  <c r="K192" i="21"/>
  <c r="J192" i="21"/>
  <c r="I192" i="21"/>
  <c r="L192" i="21" s="1"/>
  <c r="K191" i="21"/>
  <c r="J191" i="21"/>
  <c r="M191" i="21" s="1"/>
  <c r="I191" i="21"/>
  <c r="K190" i="21"/>
  <c r="J190" i="21"/>
  <c r="I190" i="21"/>
  <c r="L190" i="21" s="1"/>
  <c r="M189" i="21"/>
  <c r="K189" i="21"/>
  <c r="J189" i="21"/>
  <c r="I189" i="21"/>
  <c r="K188" i="21"/>
  <c r="J188" i="21"/>
  <c r="I188" i="21"/>
  <c r="L188" i="21" s="1"/>
  <c r="M187" i="21"/>
  <c r="K187" i="21"/>
  <c r="J187" i="21"/>
  <c r="I187" i="21"/>
  <c r="J186" i="21"/>
  <c r="M186" i="21" s="1"/>
  <c r="I186" i="21"/>
  <c r="H186" i="21"/>
  <c r="K186" i="21" s="1"/>
  <c r="J185" i="21"/>
  <c r="M185" i="21" s="1"/>
  <c r="I185" i="21"/>
  <c r="L185" i="21" s="1"/>
  <c r="H185" i="21"/>
  <c r="K185" i="21" s="1"/>
  <c r="J183" i="21"/>
  <c r="I183" i="21"/>
  <c r="L183" i="21" s="1"/>
  <c r="H183" i="21"/>
  <c r="K182" i="21"/>
  <c r="J182" i="21"/>
  <c r="M182" i="21" s="1"/>
  <c r="I182" i="21"/>
  <c r="L182" i="21" s="1"/>
  <c r="M181" i="21"/>
  <c r="K181" i="21"/>
  <c r="J181" i="21"/>
  <c r="I181" i="21"/>
  <c r="L181" i="21" s="1"/>
  <c r="K180" i="21"/>
  <c r="J180" i="21"/>
  <c r="M180" i="21" s="1"/>
  <c r="I180" i="21"/>
  <c r="L180" i="21" s="1"/>
  <c r="K179" i="21"/>
  <c r="J179" i="21"/>
  <c r="M179" i="21" s="1"/>
  <c r="I179" i="21"/>
  <c r="L179" i="21" s="1"/>
  <c r="M178" i="21"/>
  <c r="K178" i="21"/>
  <c r="J178" i="21"/>
  <c r="I178" i="21"/>
  <c r="L178" i="21" s="1"/>
  <c r="K177" i="21"/>
  <c r="J177" i="21"/>
  <c r="M177" i="21" s="1"/>
  <c r="I177" i="21"/>
  <c r="L177" i="21" s="1"/>
  <c r="K176" i="21"/>
  <c r="J176" i="21"/>
  <c r="M176" i="21" s="1"/>
  <c r="I176" i="21"/>
  <c r="L176" i="21" s="1"/>
  <c r="M175" i="21"/>
  <c r="K175" i="21"/>
  <c r="J175" i="21"/>
  <c r="I175" i="21"/>
  <c r="L175" i="21" s="1"/>
  <c r="K174" i="21"/>
  <c r="J174" i="21"/>
  <c r="M174" i="21" s="1"/>
  <c r="I174" i="21"/>
  <c r="L174" i="21" s="1"/>
  <c r="J173" i="21"/>
  <c r="M173" i="21" s="1"/>
  <c r="I173" i="21"/>
  <c r="L173" i="21" s="1"/>
  <c r="H173" i="21"/>
  <c r="J172" i="21"/>
  <c r="I172" i="21"/>
  <c r="L172" i="21" s="1"/>
  <c r="H172" i="21"/>
  <c r="K172" i="21" s="1"/>
  <c r="K171" i="21"/>
  <c r="J171" i="21"/>
  <c r="I171" i="21"/>
  <c r="L171" i="21" s="1"/>
  <c r="J169" i="21"/>
  <c r="M169" i="21" s="1"/>
  <c r="I169" i="21"/>
  <c r="L169" i="21" s="1"/>
  <c r="H169" i="21"/>
  <c r="K169" i="21" s="1"/>
  <c r="K168" i="21"/>
  <c r="J168" i="21"/>
  <c r="I168" i="21"/>
  <c r="L168" i="21" s="1"/>
  <c r="K167" i="21"/>
  <c r="J167" i="21"/>
  <c r="M167" i="21" s="1"/>
  <c r="I167" i="21"/>
  <c r="L167" i="21" s="1"/>
  <c r="K166" i="21"/>
  <c r="J166" i="21"/>
  <c r="I166" i="21"/>
  <c r="L166" i="21" s="1"/>
  <c r="K165" i="21"/>
  <c r="J165" i="21"/>
  <c r="M165" i="21" s="1"/>
  <c r="I165" i="21"/>
  <c r="L165" i="21" s="1"/>
  <c r="K164" i="21"/>
  <c r="J164" i="21"/>
  <c r="I164" i="21"/>
  <c r="L164" i="21" s="1"/>
  <c r="K163" i="21"/>
  <c r="J163" i="21"/>
  <c r="M163" i="21" s="1"/>
  <c r="I163" i="21"/>
  <c r="K162" i="21"/>
  <c r="J162" i="21"/>
  <c r="M162" i="21" s="1"/>
  <c r="I162" i="21"/>
  <c r="L162" i="21" s="1"/>
  <c r="M161" i="21"/>
  <c r="L161" i="21"/>
  <c r="K161" i="21"/>
  <c r="J160" i="21"/>
  <c r="M160" i="21" s="1"/>
  <c r="I160" i="21"/>
  <c r="L160" i="21" s="1"/>
  <c r="H160" i="21"/>
  <c r="K160" i="21" s="1"/>
  <c r="K159" i="21"/>
  <c r="J159" i="21"/>
  <c r="M159" i="21" s="1"/>
  <c r="I159" i="21"/>
  <c r="L159" i="21" s="1"/>
  <c r="L158" i="21"/>
  <c r="J158" i="21"/>
  <c r="M158" i="21" s="1"/>
  <c r="I158" i="21"/>
  <c r="H158" i="21"/>
  <c r="K158" i="21" s="1"/>
  <c r="J157" i="21"/>
  <c r="M157" i="21" s="1"/>
  <c r="I157" i="21"/>
  <c r="L157" i="21" s="1"/>
  <c r="H157" i="21"/>
  <c r="K157" i="21" s="1"/>
  <c r="J156" i="21"/>
  <c r="M156" i="21" s="1"/>
  <c r="I156" i="21"/>
  <c r="L156" i="21" s="1"/>
  <c r="H156" i="21"/>
  <c r="K156" i="21" s="1"/>
  <c r="K155" i="21"/>
  <c r="J155" i="21"/>
  <c r="M155" i="21" s="1"/>
  <c r="I155" i="21"/>
  <c r="L155" i="21" s="1"/>
  <c r="K154" i="21"/>
  <c r="J154" i="21"/>
  <c r="M154" i="21" s="1"/>
  <c r="I154" i="21"/>
  <c r="L154" i="21" s="1"/>
  <c r="M153" i="21"/>
  <c r="L153" i="21"/>
  <c r="K153" i="21"/>
  <c r="M152" i="21"/>
  <c r="K152" i="21"/>
  <c r="J152" i="21"/>
  <c r="I152" i="21"/>
  <c r="L152" i="21" s="1"/>
  <c r="M151" i="21"/>
  <c r="K151" i="21"/>
  <c r="J151" i="21"/>
  <c r="I151" i="21"/>
  <c r="L151" i="21" s="1"/>
  <c r="J149" i="21"/>
  <c r="M149" i="21" s="1"/>
  <c r="I149" i="21"/>
  <c r="L149" i="21" s="1"/>
  <c r="H149" i="21"/>
  <c r="K149" i="21" s="1"/>
  <c r="K148" i="21"/>
  <c r="J148" i="21"/>
  <c r="M148" i="21" s="1"/>
  <c r="I148" i="21"/>
  <c r="L148" i="21" s="1"/>
  <c r="K147" i="21"/>
  <c r="J147" i="21"/>
  <c r="M147" i="21" s="1"/>
  <c r="I147" i="21"/>
  <c r="L147" i="21" s="1"/>
  <c r="K146" i="21"/>
  <c r="J146" i="21"/>
  <c r="M146" i="21" s="1"/>
  <c r="I146" i="21"/>
  <c r="L146" i="21" s="1"/>
  <c r="K145" i="21"/>
  <c r="J145" i="21"/>
  <c r="M145" i="21" s="1"/>
  <c r="I145" i="21"/>
  <c r="L145" i="21" s="1"/>
  <c r="K144" i="21"/>
  <c r="J144" i="21"/>
  <c r="M144" i="21" s="1"/>
  <c r="I144" i="21"/>
  <c r="L144" i="21" s="1"/>
  <c r="J143" i="21"/>
  <c r="M143" i="21" s="1"/>
  <c r="I143" i="21"/>
  <c r="L143" i="21" s="1"/>
  <c r="H143" i="21"/>
  <c r="K143" i="21" s="1"/>
  <c r="K142" i="21"/>
  <c r="J142" i="21"/>
  <c r="M142" i="21" s="1"/>
  <c r="I142" i="21"/>
  <c r="L142" i="21" s="1"/>
  <c r="K141" i="21"/>
  <c r="J141" i="21"/>
  <c r="M141" i="21" s="1"/>
  <c r="I141" i="21"/>
  <c r="L141" i="21" s="1"/>
  <c r="K140" i="21"/>
  <c r="J140" i="21"/>
  <c r="M140" i="21" s="1"/>
  <c r="I140" i="21"/>
  <c r="L140" i="21" s="1"/>
  <c r="K139" i="21"/>
  <c r="J139" i="21"/>
  <c r="M139" i="21" s="1"/>
  <c r="I139" i="21"/>
  <c r="L139" i="21" s="1"/>
  <c r="K138" i="21"/>
  <c r="J138" i="21"/>
  <c r="M138" i="21" s="1"/>
  <c r="I138" i="21"/>
  <c r="L138" i="21" s="1"/>
  <c r="K137" i="21"/>
  <c r="J137" i="21"/>
  <c r="M137" i="21" s="1"/>
  <c r="I137" i="21"/>
  <c r="L137" i="21" s="1"/>
  <c r="J136" i="21"/>
  <c r="M136" i="21" s="1"/>
  <c r="I136" i="21"/>
  <c r="L136" i="21" s="1"/>
  <c r="H136" i="21"/>
  <c r="K136" i="21" s="1"/>
  <c r="K135" i="21"/>
  <c r="J135" i="21"/>
  <c r="M135" i="21" s="1"/>
  <c r="I135" i="21"/>
  <c r="L135" i="21" s="1"/>
  <c r="J133" i="21"/>
  <c r="M133" i="21" s="1"/>
  <c r="I133" i="21"/>
  <c r="L133" i="21" s="1"/>
  <c r="H133" i="21"/>
  <c r="K133" i="21" s="1"/>
  <c r="J132" i="21"/>
  <c r="M132" i="21" s="1"/>
  <c r="I132" i="21"/>
  <c r="L132" i="21" s="1"/>
  <c r="H132" i="21"/>
  <c r="K132" i="21" s="1"/>
  <c r="J131" i="21"/>
  <c r="M131" i="21" s="1"/>
  <c r="I131" i="21"/>
  <c r="L131" i="21" s="1"/>
  <c r="H131" i="21"/>
  <c r="K131" i="21" s="1"/>
  <c r="J130" i="21"/>
  <c r="M130" i="21" s="1"/>
  <c r="I130" i="21"/>
  <c r="L130" i="21" s="1"/>
  <c r="H130" i="21"/>
  <c r="K130" i="21" s="1"/>
  <c r="K129" i="21"/>
  <c r="J129" i="21"/>
  <c r="M129" i="21" s="1"/>
  <c r="I129" i="21"/>
  <c r="L129" i="21" s="1"/>
  <c r="K128" i="21"/>
  <c r="J128" i="21"/>
  <c r="M128" i="21" s="1"/>
  <c r="I128" i="21"/>
  <c r="L128" i="21" s="1"/>
  <c r="J127" i="21"/>
  <c r="M127" i="21" s="1"/>
  <c r="I127" i="21"/>
  <c r="L127" i="21" s="1"/>
  <c r="H127" i="21"/>
  <c r="K127" i="21" s="1"/>
  <c r="M126" i="21"/>
  <c r="L126" i="21"/>
  <c r="K126" i="21"/>
  <c r="J125" i="21"/>
  <c r="M125" i="21" s="1"/>
  <c r="I125" i="21"/>
  <c r="L125" i="21" s="1"/>
  <c r="H125" i="21"/>
  <c r="K125" i="21" s="1"/>
  <c r="L124" i="21"/>
  <c r="K124" i="21"/>
  <c r="J124" i="21"/>
  <c r="M124" i="21" s="1"/>
  <c r="I124" i="21"/>
  <c r="K123" i="21"/>
  <c r="J123" i="21"/>
  <c r="M123" i="21" s="1"/>
  <c r="I123" i="21"/>
  <c r="L123" i="21" s="1"/>
  <c r="K122" i="21"/>
  <c r="J122" i="21"/>
  <c r="M122" i="21" s="1"/>
  <c r="I122" i="21"/>
  <c r="L122" i="21" s="1"/>
  <c r="J121" i="21"/>
  <c r="M121" i="21" s="1"/>
  <c r="I121" i="21"/>
  <c r="L121" i="21" s="1"/>
  <c r="H121" i="21"/>
  <c r="K121" i="21" s="1"/>
  <c r="K120" i="21"/>
  <c r="J120" i="21"/>
  <c r="M120" i="21" s="1"/>
  <c r="I120" i="21"/>
  <c r="L120" i="21" s="1"/>
  <c r="K119" i="21"/>
  <c r="J119" i="21"/>
  <c r="M119" i="21" s="1"/>
  <c r="I119" i="21"/>
  <c r="L119" i="21" s="1"/>
  <c r="K118" i="21"/>
  <c r="J118" i="21"/>
  <c r="M118" i="21" s="1"/>
  <c r="I118" i="21"/>
  <c r="L118" i="21" s="1"/>
  <c r="K117" i="21"/>
  <c r="J117" i="21"/>
  <c r="I117" i="21"/>
  <c r="L117" i="21" s="1"/>
  <c r="H117" i="21"/>
  <c r="K116" i="21"/>
  <c r="J116" i="21"/>
  <c r="M116" i="21" s="1"/>
  <c r="I116" i="21"/>
  <c r="L116" i="21" s="1"/>
  <c r="K115" i="21"/>
  <c r="J115" i="21"/>
  <c r="M115" i="21" s="1"/>
  <c r="I115" i="21"/>
  <c r="L115" i="21" s="1"/>
  <c r="J113" i="21"/>
  <c r="M113" i="21" s="1"/>
  <c r="I113" i="21"/>
  <c r="L113" i="21" s="1"/>
  <c r="H113" i="21"/>
  <c r="K113" i="21" s="1"/>
  <c r="K112" i="21"/>
  <c r="J112" i="21"/>
  <c r="M112" i="21" s="1"/>
  <c r="I112" i="21"/>
  <c r="L112" i="21" s="1"/>
  <c r="K111" i="21"/>
  <c r="J111" i="21"/>
  <c r="M111" i="21" s="1"/>
  <c r="I111" i="21"/>
  <c r="L111" i="21" s="1"/>
  <c r="K110" i="21"/>
  <c r="J110" i="21"/>
  <c r="M110" i="21" s="1"/>
  <c r="I110" i="21"/>
  <c r="L110" i="21" s="1"/>
  <c r="K109" i="21"/>
  <c r="J109" i="21"/>
  <c r="M109" i="21" s="1"/>
  <c r="I109" i="21"/>
  <c r="L109" i="21" s="1"/>
  <c r="L108" i="21"/>
  <c r="K108" i="21"/>
  <c r="J108" i="21"/>
  <c r="M108" i="21" s="1"/>
  <c r="I108" i="21"/>
  <c r="K107" i="21"/>
  <c r="J107" i="21"/>
  <c r="M107" i="21" s="1"/>
  <c r="I107" i="21"/>
  <c r="L107" i="21" s="1"/>
  <c r="L106" i="21"/>
  <c r="K106" i="21"/>
  <c r="J106" i="21"/>
  <c r="M106" i="21" s="1"/>
  <c r="I106" i="21"/>
  <c r="K105" i="21"/>
  <c r="J105" i="21"/>
  <c r="M105" i="21" s="1"/>
  <c r="I105" i="21"/>
  <c r="L105" i="21" s="1"/>
  <c r="K104" i="21"/>
  <c r="J104" i="21"/>
  <c r="M104" i="21" s="1"/>
  <c r="I104" i="21"/>
  <c r="L104" i="21" s="1"/>
  <c r="K103" i="21"/>
  <c r="J103" i="21"/>
  <c r="M103" i="21" s="1"/>
  <c r="I103" i="21"/>
  <c r="L103" i="21" s="1"/>
  <c r="K102" i="21"/>
  <c r="J102" i="21"/>
  <c r="M102" i="21" s="1"/>
  <c r="I102" i="21"/>
  <c r="L102" i="21" s="1"/>
  <c r="K101" i="21"/>
  <c r="J101" i="21"/>
  <c r="M101" i="21" s="1"/>
  <c r="I101" i="21"/>
  <c r="L101" i="21" s="1"/>
  <c r="K100" i="21"/>
  <c r="J100" i="21"/>
  <c r="M100" i="21" s="1"/>
  <c r="I100" i="21"/>
  <c r="L100" i="21" s="1"/>
  <c r="K99" i="21"/>
  <c r="J99" i="21"/>
  <c r="M99" i="21" s="1"/>
  <c r="I99" i="21"/>
  <c r="L99" i="21" s="1"/>
  <c r="K98" i="21"/>
  <c r="J98" i="21"/>
  <c r="M98" i="21" s="1"/>
  <c r="I98" i="21"/>
  <c r="L98" i="21" s="1"/>
  <c r="J96" i="21"/>
  <c r="M96" i="21" s="1"/>
  <c r="I96" i="21"/>
  <c r="L96" i="21" s="1"/>
  <c r="H96" i="21"/>
  <c r="K96" i="21" s="1"/>
  <c r="K95" i="21"/>
  <c r="J95" i="21"/>
  <c r="M95" i="21" s="1"/>
  <c r="I95" i="21"/>
  <c r="K94" i="21"/>
  <c r="J94" i="21"/>
  <c r="I94" i="21"/>
  <c r="L94" i="21" s="1"/>
  <c r="K93" i="21"/>
  <c r="J93" i="21"/>
  <c r="M93" i="21" s="1"/>
  <c r="I93" i="21"/>
  <c r="K92" i="21"/>
  <c r="J92" i="21"/>
  <c r="M92" i="21" s="1"/>
  <c r="I92" i="21"/>
  <c r="L92" i="21" s="1"/>
  <c r="K91" i="21"/>
  <c r="J91" i="21"/>
  <c r="M91" i="21" s="1"/>
  <c r="I91" i="21"/>
  <c r="K90" i="21"/>
  <c r="J90" i="21"/>
  <c r="I90" i="21"/>
  <c r="L90" i="21" s="1"/>
  <c r="J89" i="21"/>
  <c r="M89" i="21" s="1"/>
  <c r="I89" i="21"/>
  <c r="H89" i="21"/>
  <c r="K89" i="21" s="1"/>
  <c r="J88" i="21"/>
  <c r="M88" i="21" s="1"/>
  <c r="I88" i="21"/>
  <c r="L88" i="21" s="1"/>
  <c r="H88" i="21"/>
  <c r="K88" i="21" s="1"/>
  <c r="K87" i="21"/>
  <c r="J87" i="21"/>
  <c r="M87" i="21" s="1"/>
  <c r="I87" i="21"/>
  <c r="L87" i="21" s="1"/>
  <c r="K86" i="21"/>
  <c r="J86" i="21"/>
  <c r="M86" i="21" s="1"/>
  <c r="I86" i="21"/>
  <c r="L86" i="21" s="1"/>
  <c r="L85" i="21"/>
  <c r="J85" i="21"/>
  <c r="M85" i="21" s="1"/>
  <c r="I85" i="21"/>
  <c r="H85" i="21"/>
  <c r="K85" i="21" s="1"/>
  <c r="J83" i="21"/>
  <c r="M83" i="21" s="1"/>
  <c r="I83" i="21"/>
  <c r="H83" i="21"/>
  <c r="K83" i="21" s="1"/>
  <c r="K82" i="21"/>
  <c r="J82" i="21"/>
  <c r="M82" i="21" s="1"/>
  <c r="I82" i="21"/>
  <c r="K81" i="21"/>
  <c r="J81" i="21"/>
  <c r="M81" i="21" s="1"/>
  <c r="I81" i="21"/>
  <c r="L81" i="21" s="1"/>
  <c r="K80" i="21"/>
  <c r="J80" i="21"/>
  <c r="M80" i="21" s="1"/>
  <c r="I80" i="21"/>
  <c r="L79" i="21"/>
  <c r="K79" i="21"/>
  <c r="J79" i="21"/>
  <c r="I79" i="21"/>
  <c r="J78" i="21"/>
  <c r="M78" i="21" s="1"/>
  <c r="I78" i="21"/>
  <c r="H78" i="21"/>
  <c r="K78" i="21" s="1"/>
  <c r="J77" i="21"/>
  <c r="M77" i="21" s="1"/>
  <c r="I77" i="21"/>
  <c r="L77" i="21" s="1"/>
  <c r="H77" i="21"/>
  <c r="K77" i="21" s="1"/>
  <c r="K76" i="21"/>
  <c r="J76" i="21"/>
  <c r="M76" i="21" s="1"/>
  <c r="I76" i="21"/>
  <c r="L76" i="21" s="1"/>
  <c r="J75" i="21"/>
  <c r="M75" i="21" s="1"/>
  <c r="I75" i="21"/>
  <c r="L75" i="21" s="1"/>
  <c r="H75" i="21"/>
  <c r="K75" i="21" s="1"/>
  <c r="K74" i="21"/>
  <c r="J74" i="21"/>
  <c r="M74" i="21" s="1"/>
  <c r="I74" i="21"/>
  <c r="L74" i="21" s="1"/>
  <c r="K73" i="21"/>
  <c r="J73" i="21"/>
  <c r="M73" i="21" s="1"/>
  <c r="I73" i="21"/>
  <c r="L73" i="21" s="1"/>
  <c r="J71" i="21"/>
  <c r="M71" i="21" s="1"/>
  <c r="I71" i="21"/>
  <c r="L71" i="21" s="1"/>
  <c r="H71" i="21"/>
  <c r="K70" i="21"/>
  <c r="J70" i="21"/>
  <c r="I70" i="21"/>
  <c r="L70" i="21" s="1"/>
  <c r="K69" i="21"/>
  <c r="J69" i="21"/>
  <c r="M69" i="21" s="1"/>
  <c r="I69" i="21"/>
  <c r="K68" i="21"/>
  <c r="J68" i="21"/>
  <c r="M68" i="21" s="1"/>
  <c r="I68" i="21"/>
  <c r="L68" i="21" s="1"/>
  <c r="K67" i="21"/>
  <c r="J67" i="21"/>
  <c r="M67" i="21" s="1"/>
  <c r="I67" i="21"/>
  <c r="J66" i="21"/>
  <c r="I66" i="21"/>
  <c r="H66" i="21"/>
  <c r="K66" i="21" s="1"/>
  <c r="J65" i="21"/>
  <c r="M65" i="21" s="1"/>
  <c r="I65" i="21"/>
  <c r="L65" i="21" s="1"/>
  <c r="H65" i="21"/>
  <c r="K65" i="21" s="1"/>
  <c r="K64" i="21"/>
  <c r="E64" i="21"/>
  <c r="J64" i="21" s="1"/>
  <c r="M64" i="21" s="1"/>
  <c r="D64" i="21"/>
  <c r="I64" i="21" s="1"/>
  <c r="J63" i="21"/>
  <c r="M63" i="21" s="1"/>
  <c r="H63" i="21"/>
  <c r="K63" i="21" s="1"/>
  <c r="D63" i="21"/>
  <c r="I63" i="21" s="1"/>
  <c r="L63" i="21" s="1"/>
  <c r="K62" i="21"/>
  <c r="J61" i="21"/>
  <c r="I61" i="21"/>
  <c r="H61" i="21"/>
  <c r="K61" i="21" s="1"/>
  <c r="J60" i="21"/>
  <c r="M60" i="21" s="1"/>
  <c r="I60" i="21"/>
  <c r="L60" i="21" s="1"/>
  <c r="H60" i="21"/>
  <c r="K60" i="21" s="1"/>
  <c r="K59" i="21"/>
  <c r="J59" i="21"/>
  <c r="M59" i="21" s="1"/>
  <c r="I59" i="21"/>
  <c r="L59" i="21" s="1"/>
  <c r="J58" i="21"/>
  <c r="M58" i="21" s="1"/>
  <c r="I58" i="21"/>
  <c r="L58" i="21" s="1"/>
  <c r="H58" i="21"/>
  <c r="K58" i="21" s="1"/>
  <c r="K57" i="21"/>
  <c r="J57" i="21"/>
  <c r="M57" i="21" s="1"/>
  <c r="D57" i="21"/>
  <c r="I57" i="21" s="1"/>
  <c r="J55" i="21"/>
  <c r="M55" i="21" s="1"/>
  <c r="I55" i="21"/>
  <c r="L55" i="21" s="1"/>
  <c r="H55" i="21"/>
  <c r="K55" i="21" s="1"/>
  <c r="K54" i="21"/>
  <c r="J54" i="21"/>
  <c r="I54" i="21"/>
  <c r="L54" i="21" s="1"/>
  <c r="K53" i="21"/>
  <c r="J53" i="21"/>
  <c r="M53" i="21" s="1"/>
  <c r="I53" i="21"/>
  <c r="L53" i="21" s="1"/>
  <c r="K52" i="21"/>
  <c r="J52" i="21"/>
  <c r="I52" i="21"/>
  <c r="L52" i="21" s="1"/>
  <c r="K51" i="21"/>
  <c r="I51" i="21"/>
  <c r="L51" i="21" s="1"/>
  <c r="E51" i="21"/>
  <c r="J51" i="21" s="1"/>
  <c r="M51" i="21" s="1"/>
  <c r="K50" i="21"/>
  <c r="J50" i="21"/>
  <c r="M50" i="21" s="1"/>
  <c r="I50" i="21"/>
  <c r="L50" i="21" s="1"/>
  <c r="K49" i="21"/>
  <c r="J49" i="21"/>
  <c r="M49" i="21" s="1"/>
  <c r="I49" i="21"/>
  <c r="L49" i="21" s="1"/>
  <c r="J48" i="21"/>
  <c r="M48" i="21" s="1"/>
  <c r="I48" i="21"/>
  <c r="L48" i="21" s="1"/>
  <c r="H48" i="21"/>
  <c r="K48" i="21" s="1"/>
  <c r="K47" i="21"/>
  <c r="J47" i="21"/>
  <c r="M47" i="21" s="1"/>
  <c r="I47" i="21"/>
  <c r="L47" i="21" s="1"/>
  <c r="K46" i="21"/>
  <c r="J46" i="21"/>
  <c r="M46" i="21" s="1"/>
  <c r="I46" i="21"/>
  <c r="L46" i="21" s="1"/>
  <c r="J45" i="21"/>
  <c r="M45" i="21" s="1"/>
  <c r="H45" i="21"/>
  <c r="D45" i="21"/>
  <c r="I45" i="21" s="1"/>
  <c r="K44" i="21"/>
  <c r="J44" i="21"/>
  <c r="I44" i="21"/>
  <c r="L44" i="21" s="1"/>
  <c r="H42" i="21"/>
  <c r="K42" i="21" s="1"/>
  <c r="K41" i="21"/>
  <c r="K40" i="21"/>
  <c r="K39" i="21"/>
  <c r="K38" i="21"/>
  <c r="K37" i="21"/>
  <c r="K36" i="21"/>
  <c r="K35" i="21"/>
  <c r="K34" i="21"/>
  <c r="K32" i="21"/>
  <c r="J32" i="21"/>
  <c r="M32" i="21" s="1"/>
  <c r="I32" i="21"/>
  <c r="J31" i="21"/>
  <c r="I31" i="21"/>
  <c r="H31" i="21"/>
  <c r="K31" i="21" s="1"/>
  <c r="K30" i="21"/>
  <c r="J30" i="21"/>
  <c r="M30" i="21" s="1"/>
  <c r="I30" i="21"/>
  <c r="L30" i="21" s="1"/>
  <c r="K29" i="21"/>
  <c r="J29" i="21"/>
  <c r="I29" i="21"/>
  <c r="L29" i="21" s="1"/>
  <c r="K28" i="21"/>
  <c r="J28" i="21"/>
  <c r="M28" i="21" s="1"/>
  <c r="I28" i="21"/>
  <c r="L28" i="21" s="1"/>
  <c r="K27" i="21"/>
  <c r="J27" i="21"/>
  <c r="I27" i="21"/>
  <c r="L27" i="21" s="1"/>
  <c r="J26" i="21"/>
  <c r="M26" i="21" s="1"/>
  <c r="I26" i="21"/>
  <c r="L26" i="21" s="1"/>
  <c r="H26" i="21"/>
  <c r="K26" i="21" s="1"/>
  <c r="J25" i="21"/>
  <c r="M25" i="21" s="1"/>
  <c r="I25" i="21"/>
  <c r="L25" i="21" s="1"/>
  <c r="H25" i="21"/>
  <c r="J24" i="21"/>
  <c r="M24" i="21" s="1"/>
  <c r="I24" i="21"/>
  <c r="L24" i="21" s="1"/>
  <c r="H24" i="21"/>
  <c r="M23" i="21"/>
  <c r="J23" i="21"/>
  <c r="H23" i="21"/>
  <c r="K23" i="21" s="1"/>
  <c r="E23" i="21"/>
  <c r="D23" i="21"/>
  <c r="I23" i="21" s="1"/>
  <c r="L23" i="21" s="1"/>
  <c r="K22" i="21"/>
  <c r="E22" i="21"/>
  <c r="J22" i="21" s="1"/>
  <c r="M22" i="21" s="1"/>
  <c r="D22" i="21"/>
  <c r="I22" i="21" s="1"/>
  <c r="J21" i="21"/>
  <c r="I21" i="21"/>
  <c r="L21" i="21" s="1"/>
  <c r="H21" i="21"/>
  <c r="K21" i="21" s="1"/>
  <c r="J20" i="21"/>
  <c r="M20" i="21" s="1"/>
  <c r="I20" i="21"/>
  <c r="L20" i="21" s="1"/>
  <c r="H20" i="21"/>
  <c r="K20" i="21" s="1"/>
  <c r="J19" i="21"/>
  <c r="M19" i="21" s="1"/>
  <c r="I19" i="21"/>
  <c r="H19" i="21"/>
  <c r="K19" i="21" s="1"/>
  <c r="K18" i="21"/>
  <c r="J18" i="21"/>
  <c r="M18" i="21" s="1"/>
  <c r="I18" i="21"/>
  <c r="K15" i="21"/>
  <c r="K14" i="21"/>
  <c r="K13" i="21"/>
  <c r="K12" i="21"/>
  <c r="K11" i="21"/>
  <c r="K10" i="21"/>
  <c r="H9" i="21"/>
  <c r="K9" i="21" s="1"/>
  <c r="K8" i="21"/>
  <c r="L45" i="21" l="1"/>
  <c r="L57" i="21"/>
  <c r="L64" i="21"/>
  <c r="L22" i="21"/>
  <c r="M27" i="21"/>
  <c r="M29" i="21"/>
  <c r="L31" i="21"/>
  <c r="M44" i="21"/>
  <c r="M52" i="21"/>
  <c r="M54" i="21"/>
  <c r="L61" i="21"/>
  <c r="L66" i="21"/>
  <c r="M166" i="21"/>
  <c r="M171" i="21"/>
  <c r="K173" i="21"/>
  <c r="M183" i="21"/>
  <c r="L187" i="21"/>
  <c r="K200" i="21"/>
  <c r="M205" i="21"/>
  <c r="M207" i="21"/>
  <c r="L214" i="21"/>
  <c r="L215" i="21"/>
  <c r="M218" i="21"/>
  <c r="M229" i="21"/>
  <c r="L236" i="21"/>
  <c r="L237" i="21"/>
  <c r="M245" i="21"/>
  <c r="L246" i="21"/>
  <c r="L18" i="21"/>
  <c r="L19" i="21"/>
  <c r="M21" i="21"/>
  <c r="K24" i="21"/>
  <c r="K25" i="21"/>
  <c r="M31" i="21"/>
  <c r="M61" i="21"/>
  <c r="M66" i="21"/>
  <c r="L69" i="21"/>
  <c r="M70" i="21"/>
  <c r="L78" i="21"/>
  <c r="M79" i="21"/>
  <c r="L82" i="21"/>
  <c r="L83" i="21"/>
  <c r="L89" i="21"/>
  <c r="M90" i="21"/>
  <c r="L93" i="21"/>
  <c r="M94" i="21"/>
  <c r="M117" i="21"/>
  <c r="L163" i="21"/>
  <c r="M168" i="21"/>
  <c r="L186" i="21"/>
  <c r="M192" i="21"/>
  <c r="K193" i="21"/>
  <c r="M202" i="21"/>
  <c r="K209" i="21"/>
  <c r="M220" i="21"/>
  <c r="M230" i="21"/>
  <c r="K238" i="21"/>
  <c r="M243" i="21"/>
  <c r="L244" i="21"/>
  <c r="K253" i="21"/>
  <c r="K183" i="21"/>
  <c r="M190" i="21"/>
  <c r="L191" i="21"/>
  <c r="M200" i="21"/>
  <c r="L211" i="21"/>
  <c r="M222" i="21"/>
  <c r="L242" i="21"/>
  <c r="L32" i="21"/>
  <c r="K45" i="21"/>
  <c r="L67" i="21"/>
  <c r="K71" i="21"/>
  <c r="L80" i="21"/>
  <c r="L91" i="21"/>
  <c r="L95" i="21"/>
  <c r="M164" i="21"/>
  <c r="M188" i="21"/>
  <c r="L189" i="21"/>
  <c r="L212" i="21"/>
  <c r="L213" i="21"/>
  <c r="L224" i="21"/>
  <c r="M227" i="21"/>
  <c r="M234" i="21"/>
  <c r="L247" i="21"/>
  <c r="M250" i="21"/>
  <c r="K251" i="21"/>
  <c r="M253" i="21"/>
  <c r="M172" i="21"/>
  <c r="M212" i="21"/>
  <c r="M214" i="21"/>
  <c r="M236" i="21"/>
  <c r="L238" i="21"/>
  <c r="H91" i="14" l="1"/>
  <c r="F91" i="14"/>
  <c r="D91" i="14"/>
  <c r="H90" i="14"/>
  <c r="F90" i="14"/>
  <c r="D90" i="14"/>
  <c r="H89" i="14"/>
  <c r="F89" i="14"/>
  <c r="D89" i="14"/>
  <c r="H87" i="14"/>
  <c r="F87" i="14"/>
  <c r="D87" i="14"/>
  <c r="H86" i="14"/>
  <c r="F86" i="14"/>
  <c r="D86" i="14"/>
  <c r="H85" i="14"/>
  <c r="F85" i="14"/>
  <c r="D85" i="14"/>
  <c r="H84" i="14"/>
  <c r="F84" i="14"/>
  <c r="D84" i="14"/>
  <c r="H82" i="14"/>
  <c r="F82" i="14"/>
  <c r="D82" i="14"/>
  <c r="H81" i="14"/>
  <c r="F81" i="14"/>
  <c r="D81" i="14"/>
  <c r="H80" i="14"/>
  <c r="F80" i="14"/>
  <c r="D80" i="14"/>
  <c r="H78" i="14"/>
  <c r="F78" i="14"/>
  <c r="D78" i="14"/>
  <c r="H77" i="14"/>
  <c r="F77" i="14"/>
  <c r="D77" i="14"/>
  <c r="H76" i="14"/>
  <c r="F76" i="14"/>
  <c r="D76" i="14"/>
  <c r="H74" i="14"/>
  <c r="F74" i="14"/>
  <c r="D74" i="14"/>
  <c r="H73" i="14"/>
  <c r="F73" i="14"/>
  <c r="D73" i="14"/>
  <c r="H72" i="14"/>
  <c r="F72" i="14"/>
  <c r="D72" i="14"/>
  <c r="H70" i="14"/>
  <c r="F70" i="14"/>
  <c r="D70" i="14"/>
  <c r="H69" i="14"/>
  <c r="F69" i="14"/>
  <c r="D69" i="14"/>
  <c r="H68" i="14"/>
  <c r="F68" i="14"/>
  <c r="D68" i="14"/>
  <c r="H66" i="14"/>
  <c r="F66" i="14"/>
  <c r="D66" i="14"/>
  <c r="H65" i="14"/>
  <c r="F65" i="14"/>
  <c r="D65" i="14"/>
  <c r="H64" i="14"/>
  <c r="F64" i="14"/>
  <c r="D64" i="14"/>
  <c r="H62" i="14"/>
  <c r="F62" i="14"/>
  <c r="D62" i="14"/>
  <c r="H61" i="14"/>
  <c r="F61" i="14"/>
  <c r="D61" i="14"/>
  <c r="H60" i="14"/>
  <c r="F60" i="14"/>
  <c r="D60" i="14"/>
  <c r="H59" i="14"/>
  <c r="F59" i="14"/>
  <c r="D59" i="14"/>
  <c r="H57" i="14"/>
  <c r="F57" i="14"/>
  <c r="D57" i="14"/>
  <c r="H56" i="14"/>
  <c r="F56" i="14"/>
  <c r="D56" i="14"/>
  <c r="H55" i="14"/>
  <c r="F55" i="14"/>
  <c r="D55" i="14"/>
  <c r="H54" i="14"/>
  <c r="F54" i="14"/>
  <c r="D54" i="14"/>
  <c r="H53" i="14"/>
  <c r="F53" i="14"/>
  <c r="D53" i="14"/>
  <c r="H52" i="14"/>
  <c r="F52" i="14"/>
  <c r="D52" i="14"/>
  <c r="H50" i="14"/>
  <c r="F50" i="14"/>
  <c r="D50" i="14"/>
  <c r="H49" i="14"/>
  <c r="F49" i="14"/>
  <c r="D49" i="14"/>
  <c r="H48" i="14"/>
  <c r="F48" i="14"/>
  <c r="D48" i="14"/>
  <c r="H46" i="14"/>
  <c r="F46" i="14"/>
  <c r="D46" i="14"/>
  <c r="H45" i="14"/>
  <c r="F45" i="14"/>
  <c r="D45" i="14"/>
  <c r="H44" i="14"/>
  <c r="F44" i="14"/>
  <c r="D44" i="14"/>
  <c r="H42" i="14"/>
  <c r="F42" i="14"/>
  <c r="D42" i="14"/>
  <c r="H41" i="14"/>
  <c r="F41" i="14"/>
  <c r="D41" i="14"/>
  <c r="H40" i="14"/>
  <c r="F40" i="14"/>
  <c r="D40" i="14"/>
  <c r="H39" i="14"/>
  <c r="F39" i="14"/>
  <c r="D39" i="14"/>
  <c r="H38" i="14"/>
  <c r="F38" i="14"/>
  <c r="D38" i="14"/>
  <c r="H37" i="14"/>
  <c r="F37" i="14"/>
  <c r="D37" i="14"/>
  <c r="H35" i="14"/>
  <c r="F35" i="14"/>
  <c r="D35" i="14"/>
  <c r="H34" i="14"/>
  <c r="F34" i="14"/>
  <c r="D34" i="14"/>
  <c r="H33" i="14"/>
  <c r="F33" i="14"/>
  <c r="D33" i="14"/>
  <c r="H32" i="14"/>
  <c r="F32" i="14"/>
  <c r="D32" i="14"/>
  <c r="H31" i="14"/>
  <c r="F31" i="14"/>
  <c r="D31" i="14"/>
  <c r="H30" i="14"/>
  <c r="F30" i="14"/>
  <c r="D30" i="14"/>
  <c r="H29" i="14"/>
  <c r="F29" i="14"/>
  <c r="D29" i="14"/>
  <c r="H28" i="14"/>
  <c r="F28" i="14"/>
  <c r="D28" i="14"/>
  <c r="H25" i="14"/>
  <c r="F25" i="14"/>
  <c r="D25" i="14"/>
  <c r="H24" i="14"/>
  <c r="F24" i="14"/>
  <c r="D24" i="14"/>
  <c r="H23" i="14"/>
  <c r="F23" i="14"/>
  <c r="D23" i="14"/>
  <c r="F22" i="14"/>
  <c r="D22" i="14"/>
  <c r="H21" i="14"/>
  <c r="F21" i="14"/>
  <c r="D21" i="14"/>
  <c r="H20" i="14"/>
  <c r="F20" i="14"/>
  <c r="D20" i="14"/>
  <c r="H19" i="14"/>
  <c r="F19" i="14"/>
  <c r="D19" i="14"/>
  <c r="H18" i="14"/>
  <c r="F18" i="14"/>
  <c r="D18" i="14"/>
  <c r="H16" i="14"/>
  <c r="F16" i="14"/>
  <c r="D16" i="14"/>
  <c r="H15" i="14"/>
  <c r="F15" i="14"/>
  <c r="D15" i="14"/>
  <c r="H14" i="14"/>
  <c r="F14" i="14"/>
  <c r="D14" i="14"/>
  <c r="H13" i="14"/>
  <c r="F13" i="14"/>
  <c r="D13" i="14"/>
  <c r="H12" i="14"/>
  <c r="F12" i="14"/>
  <c r="D12" i="14"/>
  <c r="H11" i="14"/>
  <c r="F11" i="14"/>
  <c r="D11" i="14"/>
  <c r="H10" i="14"/>
  <c r="F10" i="14"/>
  <c r="D10" i="14"/>
  <c r="H9" i="14"/>
  <c r="F9" i="14"/>
  <c r="D9" i="14"/>
  <c r="H8" i="14"/>
  <c r="F8" i="14"/>
  <c r="D8" i="14"/>
  <c r="J115" i="9" l="1"/>
  <c r="M115" i="9" s="1"/>
  <c r="I115" i="9"/>
  <c r="H115" i="9"/>
  <c r="M114" i="9"/>
  <c r="L114" i="9"/>
  <c r="K114" i="9"/>
  <c r="M113" i="9"/>
  <c r="L113" i="9"/>
  <c r="K113" i="9"/>
  <c r="J112" i="9"/>
  <c r="M112" i="9" s="1"/>
  <c r="I112" i="9"/>
  <c r="L112" i="9" s="1"/>
  <c r="H112" i="9"/>
  <c r="K112" i="9" s="1"/>
  <c r="J110" i="9"/>
  <c r="M110" i="9" s="1"/>
  <c r="I110" i="9"/>
  <c r="L110" i="9" s="1"/>
  <c r="H110" i="9"/>
  <c r="K110" i="9" s="1"/>
  <c r="J109" i="9"/>
  <c r="I109" i="9"/>
  <c r="L109" i="9" s="1"/>
  <c r="H109" i="9"/>
  <c r="K109" i="9" s="1"/>
  <c r="J108" i="9"/>
  <c r="M108" i="9" s="1"/>
  <c r="I108" i="9"/>
  <c r="H108" i="9"/>
  <c r="J107" i="9"/>
  <c r="M107" i="9" s="1"/>
  <c r="I107" i="9"/>
  <c r="L107" i="9" s="1"/>
  <c r="H107" i="9"/>
  <c r="K107" i="9" s="1"/>
  <c r="J105" i="9"/>
  <c r="M105" i="9" s="1"/>
  <c r="I105" i="9"/>
  <c r="L105" i="9" s="1"/>
  <c r="H105" i="9"/>
  <c r="K105" i="9" s="1"/>
  <c r="J104" i="9"/>
  <c r="I104" i="9"/>
  <c r="L104" i="9" s="1"/>
  <c r="H104" i="9"/>
  <c r="K104" i="9" s="1"/>
  <c r="J103" i="9"/>
  <c r="M103" i="9" s="1"/>
  <c r="I103" i="9"/>
  <c r="H103" i="9"/>
  <c r="J102" i="9"/>
  <c r="M102" i="9" s="1"/>
  <c r="I102" i="9"/>
  <c r="L102" i="9" s="1"/>
  <c r="H102" i="9"/>
  <c r="K102" i="9" s="1"/>
  <c r="J100" i="9"/>
  <c r="M100" i="9" s="1"/>
  <c r="I100" i="9"/>
  <c r="L100" i="9" s="1"/>
  <c r="H100" i="9"/>
  <c r="K100" i="9" s="1"/>
  <c r="J99" i="9"/>
  <c r="I99" i="9"/>
  <c r="L99" i="9" s="1"/>
  <c r="H99" i="9"/>
  <c r="K99" i="9" s="1"/>
  <c r="J98" i="9"/>
  <c r="M98" i="9" s="1"/>
  <c r="I98" i="9"/>
  <c r="H98" i="9"/>
  <c r="J97" i="9"/>
  <c r="M97" i="9" s="1"/>
  <c r="I97" i="9"/>
  <c r="L97" i="9" s="1"/>
  <c r="H97" i="9"/>
  <c r="K97" i="9" s="1"/>
  <c r="J96" i="9"/>
  <c r="M96" i="9" s="1"/>
  <c r="I96" i="9"/>
  <c r="L96" i="9" s="1"/>
  <c r="H96" i="9"/>
  <c r="K96" i="9" s="1"/>
  <c r="J95" i="9"/>
  <c r="I95" i="9"/>
  <c r="L95" i="9" s="1"/>
  <c r="H95" i="9"/>
  <c r="K95" i="9" s="1"/>
  <c r="J94" i="9"/>
  <c r="M94" i="9" s="1"/>
  <c r="I94" i="9"/>
  <c r="H94" i="9"/>
  <c r="J93" i="9"/>
  <c r="M93" i="9" s="1"/>
  <c r="I93" i="9"/>
  <c r="L93" i="9" s="1"/>
  <c r="H93" i="9"/>
  <c r="K93" i="9" s="1"/>
  <c r="J92" i="9"/>
  <c r="M92" i="9" s="1"/>
  <c r="I92" i="9"/>
  <c r="L92" i="9" s="1"/>
  <c r="H92" i="9"/>
  <c r="K92" i="9" s="1"/>
  <c r="L91" i="9"/>
  <c r="J91" i="9"/>
  <c r="I91" i="9"/>
  <c r="H91" i="9"/>
  <c r="K91" i="9" s="1"/>
  <c r="J89" i="9"/>
  <c r="M89" i="9" s="1"/>
  <c r="I89" i="9"/>
  <c r="H89" i="9"/>
  <c r="J88" i="9"/>
  <c r="M88" i="9" s="1"/>
  <c r="I88" i="9"/>
  <c r="L88" i="9" s="1"/>
  <c r="H88" i="9"/>
  <c r="K88" i="9" s="1"/>
  <c r="J87" i="9"/>
  <c r="M87" i="9" s="1"/>
  <c r="I87" i="9"/>
  <c r="L87" i="9" s="1"/>
  <c r="H87" i="9"/>
  <c r="K87" i="9" s="1"/>
  <c r="J86" i="9"/>
  <c r="I86" i="9"/>
  <c r="L86" i="9" s="1"/>
  <c r="H86" i="9"/>
  <c r="K86" i="9" s="1"/>
  <c r="J84" i="9"/>
  <c r="M84" i="9" s="1"/>
  <c r="I84" i="9"/>
  <c r="H84" i="9"/>
  <c r="J83" i="9"/>
  <c r="M83" i="9" s="1"/>
  <c r="I83" i="9"/>
  <c r="L83" i="9" s="1"/>
  <c r="H83" i="9"/>
  <c r="K83" i="9" s="1"/>
  <c r="J82" i="9"/>
  <c r="M82" i="9" s="1"/>
  <c r="I82" i="9"/>
  <c r="L82" i="9" s="1"/>
  <c r="H82" i="9"/>
  <c r="K82" i="9" s="1"/>
  <c r="K81" i="9"/>
  <c r="J81" i="9"/>
  <c r="I81" i="9"/>
  <c r="L81" i="9" s="1"/>
  <c r="H81" i="9"/>
  <c r="J80" i="9"/>
  <c r="M80" i="9" s="1"/>
  <c r="I80" i="9"/>
  <c r="H80" i="9"/>
  <c r="J79" i="9"/>
  <c r="M79" i="9" s="1"/>
  <c r="I79" i="9"/>
  <c r="L79" i="9" s="1"/>
  <c r="H79" i="9"/>
  <c r="K79" i="9" s="1"/>
  <c r="L78" i="9"/>
  <c r="J78" i="9"/>
  <c r="M78" i="9" s="1"/>
  <c r="I78" i="9"/>
  <c r="H78" i="9"/>
  <c r="K78" i="9" s="1"/>
  <c r="K77" i="9"/>
  <c r="J77" i="9"/>
  <c r="I77" i="9"/>
  <c r="L77" i="9" s="1"/>
  <c r="H77" i="9"/>
  <c r="J75" i="9"/>
  <c r="M75" i="9" s="1"/>
  <c r="I75" i="9"/>
  <c r="H75" i="9"/>
  <c r="J74" i="9"/>
  <c r="M74" i="9" s="1"/>
  <c r="I74" i="9"/>
  <c r="L74" i="9" s="1"/>
  <c r="H74" i="9"/>
  <c r="K74" i="9" s="1"/>
  <c r="J73" i="9"/>
  <c r="M73" i="9" s="1"/>
  <c r="I73" i="9"/>
  <c r="L73" i="9" s="1"/>
  <c r="H73" i="9"/>
  <c r="K73" i="9" s="1"/>
  <c r="J72" i="9"/>
  <c r="I72" i="9"/>
  <c r="L72" i="9" s="1"/>
  <c r="H72" i="9"/>
  <c r="K72" i="9" s="1"/>
  <c r="J71" i="9"/>
  <c r="M71" i="9" s="1"/>
  <c r="I71" i="9"/>
  <c r="H71" i="9"/>
  <c r="J70" i="9"/>
  <c r="M70" i="9" s="1"/>
  <c r="I70" i="9"/>
  <c r="L70" i="9" s="1"/>
  <c r="H70" i="9"/>
  <c r="K70" i="9" s="1"/>
  <c r="J69" i="9"/>
  <c r="M69" i="9" s="1"/>
  <c r="I69" i="9"/>
  <c r="L69" i="9" s="1"/>
  <c r="H69" i="9"/>
  <c r="K69" i="9" s="1"/>
  <c r="J67" i="9"/>
  <c r="I67" i="9"/>
  <c r="L67" i="9" s="1"/>
  <c r="H67" i="9"/>
  <c r="K67" i="9" s="1"/>
  <c r="J66" i="9"/>
  <c r="M66" i="9" s="1"/>
  <c r="I66" i="9"/>
  <c r="H66" i="9"/>
  <c r="J65" i="9"/>
  <c r="M65" i="9" s="1"/>
  <c r="I65" i="9"/>
  <c r="L65" i="9" s="1"/>
  <c r="H65" i="9"/>
  <c r="K65" i="9" s="1"/>
  <c r="J64" i="9"/>
  <c r="M64" i="9" s="1"/>
  <c r="I64" i="9"/>
  <c r="L64" i="9" s="1"/>
  <c r="H64" i="9"/>
  <c r="K64" i="9" s="1"/>
  <c r="J63" i="9"/>
  <c r="I63" i="9"/>
  <c r="L63" i="9" s="1"/>
  <c r="H63" i="9"/>
  <c r="K63" i="9" s="1"/>
  <c r="J62" i="9"/>
  <c r="M62" i="9" s="1"/>
  <c r="I62" i="9"/>
  <c r="H62" i="9"/>
  <c r="J60" i="9"/>
  <c r="M60" i="9" s="1"/>
  <c r="I60" i="9"/>
  <c r="L60" i="9" s="1"/>
  <c r="H60" i="9"/>
  <c r="K60" i="9" s="1"/>
  <c r="J59" i="9"/>
  <c r="M59" i="9" s="1"/>
  <c r="I59" i="9"/>
  <c r="L59" i="9" s="1"/>
  <c r="H59" i="9"/>
  <c r="K59" i="9" s="1"/>
  <c r="J58" i="9"/>
  <c r="I58" i="9"/>
  <c r="L58" i="9" s="1"/>
  <c r="H58" i="9"/>
  <c r="K58" i="9" s="1"/>
  <c r="J57" i="9"/>
  <c r="M57" i="9" s="1"/>
  <c r="I57" i="9"/>
  <c r="H57" i="9"/>
  <c r="J56" i="9"/>
  <c r="M56" i="9" s="1"/>
  <c r="I56" i="9"/>
  <c r="L56" i="9" s="1"/>
  <c r="H56" i="9"/>
  <c r="K56" i="9" s="1"/>
  <c r="J55" i="9"/>
  <c r="M55" i="9" s="1"/>
  <c r="I55" i="9"/>
  <c r="L55" i="9" s="1"/>
  <c r="H55" i="9"/>
  <c r="K55" i="9" s="1"/>
  <c r="J54" i="9"/>
  <c r="I54" i="9"/>
  <c r="L54" i="9" s="1"/>
  <c r="H54" i="9"/>
  <c r="K54" i="9" s="1"/>
  <c r="J52" i="9"/>
  <c r="M52" i="9" s="1"/>
  <c r="I52" i="9"/>
  <c r="H52" i="9"/>
  <c r="J51" i="9"/>
  <c r="M51" i="9" s="1"/>
  <c r="I51" i="9"/>
  <c r="L51" i="9" s="1"/>
  <c r="H51" i="9"/>
  <c r="K51" i="9" s="1"/>
  <c r="J50" i="9"/>
  <c r="M50" i="9" s="1"/>
  <c r="I50" i="9"/>
  <c r="L50" i="9" s="1"/>
  <c r="H50" i="9"/>
  <c r="K50" i="9" s="1"/>
  <c r="J49" i="9"/>
  <c r="I49" i="9"/>
  <c r="L49" i="9" s="1"/>
  <c r="H49" i="9"/>
  <c r="K49" i="9" s="1"/>
  <c r="J47" i="9"/>
  <c r="M47" i="9" s="1"/>
  <c r="I47" i="9"/>
  <c r="H47" i="9"/>
  <c r="J46" i="9"/>
  <c r="M46" i="9" s="1"/>
  <c r="I46" i="9"/>
  <c r="L46" i="9" s="1"/>
  <c r="H46" i="9"/>
  <c r="K46" i="9" s="1"/>
  <c r="J45" i="9"/>
  <c r="M45" i="9" s="1"/>
  <c r="I45" i="9"/>
  <c r="L45" i="9" s="1"/>
  <c r="H45" i="9"/>
  <c r="K45" i="9" s="1"/>
  <c r="J44" i="9"/>
  <c r="I44" i="9"/>
  <c r="L44" i="9" s="1"/>
  <c r="H44" i="9"/>
  <c r="K44" i="9" s="1"/>
  <c r="M43" i="9"/>
  <c r="J43" i="9"/>
  <c r="I43" i="9"/>
  <c r="H43" i="9"/>
  <c r="J41" i="9"/>
  <c r="M41" i="9" s="1"/>
  <c r="I41" i="9"/>
  <c r="L41" i="9" s="1"/>
  <c r="H41" i="9"/>
  <c r="K41" i="9" s="1"/>
  <c r="J40" i="9"/>
  <c r="M40" i="9" s="1"/>
  <c r="I40" i="9"/>
  <c r="L40" i="9" s="1"/>
  <c r="H40" i="9"/>
  <c r="K40" i="9" s="1"/>
  <c r="K39" i="9"/>
  <c r="J39" i="9"/>
  <c r="I39" i="9"/>
  <c r="L39" i="9" s="1"/>
  <c r="H39" i="9"/>
  <c r="J38" i="9"/>
  <c r="M38" i="9" s="1"/>
  <c r="I38" i="9"/>
  <c r="H38" i="9"/>
  <c r="J36" i="9"/>
  <c r="M36" i="9" s="1"/>
  <c r="I36" i="9"/>
  <c r="L36" i="9" s="1"/>
  <c r="H36" i="9"/>
  <c r="K36" i="9" s="1"/>
  <c r="J35" i="9"/>
  <c r="M35" i="9" s="1"/>
  <c r="I35" i="9"/>
  <c r="L35" i="9" s="1"/>
  <c r="H35" i="9"/>
  <c r="K35" i="9" s="1"/>
  <c r="J34" i="9"/>
  <c r="I34" i="9"/>
  <c r="L34" i="9" s="1"/>
  <c r="H34" i="9"/>
  <c r="K34" i="9" s="1"/>
  <c r="J33" i="9"/>
  <c r="M33" i="9" s="1"/>
  <c r="I33" i="9"/>
  <c r="H33" i="9"/>
  <c r="J32" i="9"/>
  <c r="M32" i="9" s="1"/>
  <c r="I32" i="9"/>
  <c r="L32" i="9" s="1"/>
  <c r="H32" i="9"/>
  <c r="K32" i="9" s="1"/>
  <c r="L31" i="9"/>
  <c r="J31" i="9"/>
  <c r="M31" i="9" s="1"/>
  <c r="I31" i="9"/>
  <c r="H31" i="9"/>
  <c r="K31" i="9" s="1"/>
  <c r="K29" i="9"/>
  <c r="J29" i="9"/>
  <c r="I29" i="9"/>
  <c r="L29" i="9" s="1"/>
  <c r="H29" i="9"/>
  <c r="J28" i="9"/>
  <c r="M28" i="9" s="1"/>
  <c r="I28" i="9"/>
  <c r="H28" i="9"/>
  <c r="J27" i="9"/>
  <c r="M27" i="9" s="1"/>
  <c r="I27" i="9"/>
  <c r="L27" i="9" s="1"/>
  <c r="H27" i="9"/>
  <c r="K27" i="9" s="1"/>
  <c r="J26" i="9"/>
  <c r="M26" i="9" s="1"/>
  <c r="I26" i="9"/>
  <c r="L26" i="9" s="1"/>
  <c r="H26" i="9"/>
  <c r="K26" i="9" s="1"/>
  <c r="J25" i="9"/>
  <c r="I25" i="9"/>
  <c r="L25" i="9" s="1"/>
  <c r="H25" i="9"/>
  <c r="K25" i="9" s="1"/>
  <c r="J23" i="9"/>
  <c r="M23" i="9" s="1"/>
  <c r="I23" i="9"/>
  <c r="H23" i="9"/>
  <c r="J22" i="9"/>
  <c r="M22" i="9" s="1"/>
  <c r="I22" i="9"/>
  <c r="L22" i="9" s="1"/>
  <c r="H22" i="9"/>
  <c r="K22" i="9" s="1"/>
  <c r="J21" i="9"/>
  <c r="M21" i="9" s="1"/>
  <c r="I21" i="9"/>
  <c r="L21" i="9" s="1"/>
  <c r="H21" i="9"/>
  <c r="K21" i="9" s="1"/>
  <c r="M20" i="9"/>
  <c r="L20" i="9"/>
  <c r="K20" i="9"/>
  <c r="J19" i="9"/>
  <c r="M19" i="9" s="1"/>
  <c r="I19" i="9"/>
  <c r="L19" i="9" s="1"/>
  <c r="H19" i="9"/>
  <c r="K19" i="9" s="1"/>
  <c r="J18" i="9"/>
  <c r="M18" i="9" s="1"/>
  <c r="I18" i="9"/>
  <c r="L18" i="9" s="1"/>
  <c r="H18" i="9"/>
  <c r="K18" i="9" s="1"/>
  <c r="J17" i="9"/>
  <c r="I17" i="9"/>
  <c r="L17" i="9" s="1"/>
  <c r="H17" i="9"/>
  <c r="K17" i="9" s="1"/>
  <c r="J16" i="9"/>
  <c r="M16" i="9" s="1"/>
  <c r="I16" i="9"/>
  <c r="H16" i="9"/>
  <c r="J14" i="9"/>
  <c r="M14" i="9" s="1"/>
  <c r="I14" i="9"/>
  <c r="L14" i="9" s="1"/>
  <c r="H14" i="9"/>
  <c r="K14" i="9" s="1"/>
  <c r="K12" i="9"/>
  <c r="K11" i="9"/>
  <c r="K10" i="9"/>
  <c r="K9" i="9"/>
  <c r="K8" i="9"/>
  <c r="J7" i="9"/>
  <c r="M7" i="9" s="1"/>
  <c r="I7" i="9"/>
  <c r="L7" i="9" s="1"/>
  <c r="H7" i="9"/>
  <c r="K7" i="9" s="1"/>
  <c r="J6" i="9"/>
  <c r="I6" i="9"/>
  <c r="L6" i="9" s="1"/>
  <c r="H6" i="9"/>
  <c r="K6" i="9" s="1"/>
  <c r="M6" i="9" l="1"/>
  <c r="M17" i="9"/>
  <c r="M25" i="9"/>
  <c r="M29" i="9"/>
  <c r="M34" i="9"/>
  <c r="M39" i="9"/>
  <c r="M44" i="9"/>
  <c r="M49" i="9"/>
  <c r="M54" i="9"/>
  <c r="M58" i="9"/>
  <c r="M63" i="9"/>
  <c r="M67" i="9"/>
  <c r="M72" i="9"/>
  <c r="M77" i="9"/>
  <c r="M81" i="9"/>
  <c r="M86" i="9"/>
  <c r="M91" i="9"/>
  <c r="M95" i="9"/>
  <c r="M99" i="9"/>
  <c r="M104" i="9"/>
  <c r="M109" i="9"/>
  <c r="K16" i="9"/>
  <c r="K23" i="9"/>
  <c r="K28" i="9"/>
  <c r="K33" i="9"/>
  <c r="K38" i="9"/>
  <c r="K43" i="9"/>
  <c r="K47" i="9"/>
  <c r="K52" i="9"/>
  <c r="K57" i="9"/>
  <c r="K62" i="9"/>
  <c r="K66" i="9"/>
  <c r="K71" i="9"/>
  <c r="K75" i="9"/>
  <c r="K80" i="9"/>
  <c r="K84" i="9"/>
  <c r="K89" i="9"/>
  <c r="K94" i="9"/>
  <c r="K98" i="9"/>
  <c r="K103" i="9"/>
  <c r="K108" i="9"/>
  <c r="K115" i="9"/>
  <c r="L16" i="9"/>
  <c r="L23" i="9"/>
  <c r="L28" i="9"/>
  <c r="L33" i="9"/>
  <c r="L38" i="9"/>
  <c r="L43" i="9"/>
  <c r="L47" i="9"/>
  <c r="L52" i="9"/>
  <c r="L57" i="9"/>
  <c r="L62" i="9"/>
  <c r="L66" i="9"/>
  <c r="L71" i="9"/>
  <c r="L75" i="9"/>
  <c r="L80" i="9"/>
  <c r="L84" i="9"/>
  <c r="L89" i="9"/>
  <c r="L94" i="9"/>
  <c r="L98" i="9"/>
  <c r="L103" i="9"/>
  <c r="L108" i="9"/>
  <c r="L115" i="9"/>
</calcChain>
</file>

<file path=xl/sharedStrings.xml><?xml version="1.0" encoding="utf-8"?>
<sst xmlns="http://schemas.openxmlformats.org/spreadsheetml/2006/main" count="2895" uniqueCount="1146">
  <si>
    <t>STT</t>
  </si>
  <si>
    <t>Tên đường, đoạn đường</t>
  </si>
  <si>
    <t>Đơn giá</t>
  </si>
  <si>
    <t>Vị trí 2</t>
  </si>
  <si>
    <t>Vị trí 1</t>
  </si>
  <si>
    <t>Vị trí 3</t>
  </si>
  <si>
    <t>Vị trí 4</t>
  </si>
  <si>
    <t>I</t>
  </si>
  <si>
    <t>1.1</t>
  </si>
  <si>
    <t>1.2</t>
  </si>
  <si>
    <t>4.1</t>
  </si>
  <si>
    <t>4.2</t>
  </si>
  <si>
    <t>Đường trong khu du lịch sinh thái Him Lam và các đường nối vào khu du lịch sinh thái Him Lam</t>
  </si>
  <si>
    <t>8.1</t>
  </si>
  <si>
    <t>2.2</t>
  </si>
  <si>
    <t>8.2</t>
  </si>
  <si>
    <t>8.3</t>
  </si>
  <si>
    <t>II</t>
  </si>
  <si>
    <t>3.1</t>
  </si>
  <si>
    <t>3.2</t>
  </si>
  <si>
    <t>3.3</t>
  </si>
  <si>
    <t>3.4</t>
  </si>
  <si>
    <t>3.5</t>
  </si>
  <si>
    <t>3.6</t>
  </si>
  <si>
    <t>3.7</t>
  </si>
  <si>
    <t>Các trục đường giao thông liên thôn, nội thôn bản còn lại.</t>
  </si>
  <si>
    <t>3.8</t>
  </si>
  <si>
    <t>Các vị trí còn lại trong xã</t>
  </si>
  <si>
    <t>III</t>
  </si>
  <si>
    <t>4.3</t>
  </si>
  <si>
    <t>4.4</t>
  </si>
  <si>
    <t>4.5</t>
  </si>
  <si>
    <t>4.6</t>
  </si>
  <si>
    <t>4.7</t>
  </si>
  <si>
    <t>IV</t>
  </si>
  <si>
    <t>5.1</t>
  </si>
  <si>
    <t>5.2</t>
  </si>
  <si>
    <t>5.3</t>
  </si>
  <si>
    <t>5.4</t>
  </si>
  <si>
    <t>5.5</t>
  </si>
  <si>
    <t>5.6</t>
  </si>
  <si>
    <t>5.7</t>
  </si>
  <si>
    <t>V</t>
  </si>
  <si>
    <t>6.1</t>
  </si>
  <si>
    <t>6.2</t>
  </si>
  <si>
    <t>6.3</t>
  </si>
  <si>
    <t>6.5</t>
  </si>
  <si>
    <t>6.6</t>
  </si>
  <si>
    <t>2.2. HUYỆN ĐIỆN BIÊN</t>
  </si>
  <si>
    <t>ĐVT: 1.000 đồng/m²</t>
  </si>
  <si>
    <t>KHU VỰC TRUNG TÂM HUYỆN LỴ PÚ TỬU</t>
  </si>
  <si>
    <t>Đoạn từ Huyện đội Điện Biên đến hết đất của Công an huyện (đường nhựa)</t>
  </si>
  <si>
    <t>Đường nội bộ 29,5m</t>
  </si>
  <si>
    <t>Đường nội bộ 22,5m</t>
  </si>
  <si>
    <t>Đường nội bộ 13,5m</t>
  </si>
  <si>
    <t>Đường nội bộ 11,5m</t>
  </si>
  <si>
    <t>Đường nội bộ 10,5m</t>
  </si>
  <si>
    <t xml:space="preserve">Đường nội bộ  7,5m </t>
  </si>
  <si>
    <t xml:space="preserve">Đường nội bộ 5,5m </t>
  </si>
  <si>
    <t xml:space="preserve"> </t>
  </si>
  <si>
    <t>Xã Thanh Xương</t>
  </si>
  <si>
    <t>1.3</t>
  </si>
  <si>
    <t>1.4</t>
  </si>
  <si>
    <t>1.5</t>
  </si>
  <si>
    <t>1.6</t>
  </si>
  <si>
    <t>1.7</t>
  </si>
  <si>
    <t>Đường bê tông vào Trung tâm huyện (trừ vị trí 1,2,3 đường vành đai 2) đoạn từ nhà ông Lẻ đến giáp bờ mương</t>
  </si>
  <si>
    <t>1.8</t>
  </si>
  <si>
    <t>Đường bê tông vào Trung tâm huyện đoạn từ hết đất nhà ông Yên đến giáp khu Trung tâm huyện lỵ mới</t>
  </si>
  <si>
    <t>1.9</t>
  </si>
  <si>
    <t>Các đường liên thôn, nội thôn, ngõ Khu vực bản Ten, bản Pá Luống, Đội C17; bản Bom La; bản Noong Nhai và Đội 18 (trừ các vị trí 1, 2, 3 QL279)</t>
  </si>
  <si>
    <t>1.10</t>
  </si>
  <si>
    <t>Đường phía Đông: Đoạn từ giáp xã Thanh An đến hết ranh giới thành phố Điện Biên Phủ</t>
  </si>
  <si>
    <t>1.11</t>
  </si>
  <si>
    <t>Các trục đường giao thông liên thôn, nội thôn bản, ngõ có chiều rộng từ 7 m trở lên</t>
  </si>
  <si>
    <t>Các trục đường giao thông liên thôn, nội thôn bản, ngõ có chiều rộng từ 3 m đến dưới 7 m</t>
  </si>
  <si>
    <t>Các trục đường giao thông liên thôn, nội thôn bản, ngõ có chiều rộng dưới 3 m</t>
  </si>
  <si>
    <t>1.12</t>
  </si>
  <si>
    <t>1.12a</t>
  </si>
  <si>
    <t>Đoạn từ đường vành đai 2 đến Trung tâm huyện lỵ Pú Tửu (tuyến đường mở mới vào trung tâm huyện lỵ Pú Tửu, trừ vị trí 1, 2, 3 đường vành đai 2)</t>
  </si>
  <si>
    <t>1.13</t>
  </si>
  <si>
    <t>Khu dân cư mới Bom La</t>
  </si>
  <si>
    <t>Đường nội bộ 25m (Các lô LK1+LK2+LK5)</t>
  </si>
  <si>
    <t>Đường nội bộ 25m (Các lô LK3+LK4)</t>
  </si>
  <si>
    <t>Đường nội bộ 20,5m (Các lô LK13+LK14)</t>
  </si>
  <si>
    <t>Đường nội bộ 15m (Lô LK1)</t>
  </si>
  <si>
    <t>Đường nội bộ 15m (Lô LK13)</t>
  </si>
  <si>
    <t>Đường nội bộ 15m (Lô BT11+BT12)</t>
  </si>
  <si>
    <t>Đường nội bộ 13m (Lô LK2+LK3+LK15+LK16+LK17+LK18+LK19+LK21)</t>
  </si>
  <si>
    <t>Đường nội bộ 13m (Lô BT11+LK16)</t>
  </si>
  <si>
    <t>Đường nội bộ 11m (Các lô LK4+LK5+LK6+LK7+LK14+LK15)</t>
  </si>
  <si>
    <t>Xã Thanh An</t>
  </si>
  <si>
    <t>2.1</t>
  </si>
  <si>
    <t xml:space="preserve">QL 279: Đoạn từ giáp xã Thanh Xương đến đường rẽ vào bản Xôm, bản Noong Ứng
</t>
  </si>
  <si>
    <t>2.3</t>
  </si>
  <si>
    <t>2.4</t>
  </si>
  <si>
    <t>2.5</t>
  </si>
  <si>
    <t>2.6</t>
  </si>
  <si>
    <t>Đường trục chính vào UBND xã: Đoạn từ tiếp giáp đất nhà ông Chuyển thôn Đông Biên 2 đến tiếp giáp vị trí 3 đường Đông Điện Biên</t>
  </si>
  <si>
    <t>2.7</t>
  </si>
  <si>
    <t>Đường Đông Điện Biên (ĐT.147): Đoạn từ giáp xã Thanh Xương đến giáp xã Noong Hẹt</t>
  </si>
  <si>
    <t>2.8</t>
  </si>
  <si>
    <t>Đoạn từ tiếp giáp vị trí 3 QL 279 qua thôn Trại giống đến Kênh thủy nông</t>
  </si>
  <si>
    <t>2.9</t>
  </si>
  <si>
    <t>2.10</t>
  </si>
  <si>
    <t>Xã Noong Hẹt</t>
  </si>
  <si>
    <t>Các vị trí còn lại trong chợ bản phủ</t>
  </si>
  <si>
    <t>3.9</t>
  </si>
  <si>
    <t>3.10</t>
  </si>
  <si>
    <t>3.11</t>
  </si>
  <si>
    <t>3.12</t>
  </si>
  <si>
    <t>3.13</t>
  </si>
  <si>
    <t>Xã Pom Lót</t>
  </si>
  <si>
    <r>
      <t>Đường đi ĐBĐ</t>
    </r>
    <r>
      <rPr>
        <sz val="13"/>
        <rFont val="Times New Roman"/>
        <family val="1"/>
      </rPr>
      <t>: Tiếp giáp đường QL 279 tại ngã ba hướng đi Điện Biên Đông đến hết đất nhà bà Bùi Thị Mai đối diện là đường vào đội 2.</t>
    </r>
  </si>
  <si>
    <r>
      <t>Đường đi ĐBĐ</t>
    </r>
    <r>
      <rPr>
        <sz val="13"/>
        <rFont val="Times New Roman"/>
        <family val="1"/>
      </rPr>
      <t>: Tiếp giáp đường Quốc lộ 279 tại ngã ba hướng đi Điện Biên Đông đến đến ngã tư đường vào nhà văn hóa thôn 2, đối diện là đường vào thôn 5</t>
    </r>
  </si>
  <si>
    <t>4.8</t>
  </si>
  <si>
    <t>4.9</t>
  </si>
  <si>
    <t>Xã Sam Mứn</t>
  </si>
  <si>
    <t>5.6a</t>
  </si>
  <si>
    <t>Đường liên xã: Đoạn từ nhà bà Nguyễn Thị Vân (chồng Nguyễn Giang Quốc) thôn 10 Yên Cang (giáp đường vào trụ sở UBND xã) đến giáp địa phận xã Hẹ Muông)</t>
  </si>
  <si>
    <t>Đường trục vào UBND xã: Đoạn từ đất nhà bà Đào đến hết trụ sở UBND xã</t>
  </si>
  <si>
    <t>Xã Noong Luống</t>
  </si>
  <si>
    <t xml:space="preserve">Đường đi pa thơm: Từ đất nhà bà Chấn (thửa 123, tờ bản đồ 24-E) đến hết ao ông Muôn ( thửa đất số 243, tờ bản đồ 24-E)
</t>
  </si>
  <si>
    <t>6.1a</t>
  </si>
  <si>
    <t>Đường giao thông kết nối các khu vực kinh tế trọng điểm thuộc vùng kinh tế động lực dọc trục Quốc lộ 279 và Quốc lộ 12, tỉnh Điện Biên (tuyến nhánh 4): Từ giáp xã Thanh Yên đến ngã tư UBND xã Noong Luống</t>
  </si>
  <si>
    <t xml:space="preserve">Đường giao thông kết nối các khu vực kinh tế trọng điểm thuộc vùng kinh tế động lực dọc trục Quốc lộ 279 và Quốc lộ 12, tỉnh Điện Biên: Đoạn từ giáp đất nhà ông Đôi đội 7 đến hết đất nhà ông Bương bản Co Luống
</t>
  </si>
  <si>
    <t>6.3a</t>
  </si>
  <si>
    <t xml:space="preserve">Đường đi Pa Thơm: đoạn từ nhà ông Bương đến hết đất nhà ông Cương bản Co Luống
</t>
  </si>
  <si>
    <t>6.4</t>
  </si>
  <si>
    <t>Đoạn từ ngã tư UBND về hướng đi hồ Cô Lôm (hết thửa số 173 tờ bản đồ 23-e, ngõ vào nhà ông Liên).</t>
  </si>
  <si>
    <t>Đoạn từ ngã tư UBND xã đi A2 đến hết nhà ông Bùi Văn Ruật</t>
  </si>
  <si>
    <t xml:space="preserve">Ngã tư bản On về hướng đi đập Hoong Sống (hết đất nhà ông Lịch Sen, đối diện là nhà ông Nhân). </t>
  </si>
  <si>
    <t>6.7</t>
  </si>
  <si>
    <t>6.8</t>
  </si>
  <si>
    <t>6.9</t>
  </si>
  <si>
    <t>Đường Co Luống - U Va</t>
  </si>
  <si>
    <t>6.9a</t>
  </si>
  <si>
    <t xml:space="preserve">Đường giao thông kết nối các khu vực kinh tế trọng điểm thuộc vùng kinh tế động lực dọc trục Quốc lộ 279 và Quốc lộ 12, tỉnh Điện Biên: Đoạn từ nhà ông Thân bản Co Luống (từ thửa 783 tờ bản đồ 47-d) đến cầu mới sang xã Pom Lót
</t>
  </si>
  <si>
    <t>6.10</t>
  </si>
  <si>
    <t>6.11</t>
  </si>
  <si>
    <t>Xã Thanh Nưa</t>
  </si>
  <si>
    <t>7.1</t>
  </si>
  <si>
    <t>7.2</t>
  </si>
  <si>
    <t>7.3</t>
  </si>
  <si>
    <t>7.4</t>
  </si>
  <si>
    <t>Đoạn từ hết vị trí 3 Quốc lộ 12 đến hết sân nghĩa trang đồi Độc Lập</t>
  </si>
  <si>
    <t>7.5</t>
  </si>
  <si>
    <t>Đoạn từ hết vị trí 3 Quốc lộ 12 đến hết trường tiểu học</t>
  </si>
  <si>
    <t>7.6</t>
  </si>
  <si>
    <t>Đoạn  từ hết vị trí 3 Quốc lộ 12 qua  ngã tư Tông Khao đến hết trường tập lái; đến hết đất nhà ông Phùng Văn Tâm (bản Hồng Lạnh); hướng đi theo đường phía tây giáp xã Thanh Luông.</t>
  </si>
  <si>
    <t>7.6a</t>
  </si>
  <si>
    <t>Đoạn đường nối Quốc lộ 12 và đường phía tây lòng chảo (đường vào chùa Linh Quang)</t>
  </si>
  <si>
    <t>7.7</t>
  </si>
  <si>
    <t>7.8</t>
  </si>
  <si>
    <t>Xã Hua Thanh</t>
  </si>
  <si>
    <t>8.4</t>
  </si>
  <si>
    <t>Các trục đường liên thôn, nội thôn bản, ngõ có chiều rộng dưới 3m.</t>
  </si>
  <si>
    <t>8.5</t>
  </si>
  <si>
    <t>Xã Thanh Luông</t>
  </si>
  <si>
    <t>9.1</t>
  </si>
  <si>
    <t>9.2</t>
  </si>
  <si>
    <t>9.3</t>
  </si>
  <si>
    <t>9.4</t>
  </si>
  <si>
    <t>9.5</t>
  </si>
  <si>
    <t>Đường từ ngã ba Nghĩa trang C1 đến tiếp nối đường đi Hua Pe (trừ các vị trí 1,2,3 của đoạn này)</t>
  </si>
  <si>
    <t>9.6</t>
  </si>
  <si>
    <t>Đoạn từ bờ mương C8 đến ngã ba Nghĩa trang C1</t>
  </si>
  <si>
    <t>9.7</t>
  </si>
  <si>
    <t>Đoạn từ giáp thành phố Điện Biên Phủ đến nhà ông Đắc</t>
  </si>
  <si>
    <t>Đoạn từ nhà ông Phạm Quang Uy thôn Thanh Đông đến hết đất ông Bùi Văn Quý thôn Thanh Đông</t>
  </si>
  <si>
    <t>9.7a</t>
  </si>
  <si>
    <t>9.8</t>
  </si>
  <si>
    <t>Đoạn từ hết vị trí 3 đường trục đường đi Hua Pe đến cầu Cộng Hoà.</t>
  </si>
  <si>
    <t>9.8a</t>
  </si>
  <si>
    <t xml:space="preserve">Đoạn đường tránh sân bay nối từ đường đi xã Thanh Hưng với đường đi xã Thanh Luông (để thực hiện dự án Nâng cấp, cải tạo Cảng hàng không Điện Biên): Đoạn từ cầu suối Hoong Pinh đến hết ruộng ông Trần Hữu Thắng, thôn Cộng Hòa
</t>
  </si>
  <si>
    <t>9.8b</t>
  </si>
  <si>
    <t>Đường giao thông kết nối các khu vực kinh tế trọng điểm thuộc vùng kinh tế động lực dọc trục Quốc lộ 279 và Quốc lộ 12, tỉnh Điện Biên (tuyến chính): Đoạn từ tiếp giáp đường đi Hua Pe đến tiếp giáp xã Thanh Hưng</t>
  </si>
  <si>
    <t>9.9</t>
  </si>
  <si>
    <t>9.10</t>
  </si>
  <si>
    <t>Xã Thanh Hưng</t>
  </si>
  <si>
    <t>10.1</t>
  </si>
  <si>
    <t>10.2</t>
  </si>
  <si>
    <t>10.3</t>
  </si>
  <si>
    <t>10.4</t>
  </si>
  <si>
    <t>10.5</t>
  </si>
  <si>
    <t>10.6</t>
  </si>
  <si>
    <t>10.7</t>
  </si>
  <si>
    <t>10.7a</t>
  </si>
  <si>
    <t>10.8</t>
  </si>
  <si>
    <t>Đường ngã ba Noong Pết đến chân đập hồ Hồng Khếnh (trừ các vị trí 1, 2,3 khu trung tâm xã)</t>
  </si>
  <si>
    <t xml:space="preserve">Đoạn từ Ngã ba Noong Pết (thửa đất ông Vương Đình Kiểu) đến chân đập Hồ Hồng Khếnh (trừ các vị trí 1, 2, 3 khu trung tâm xã)
</t>
  </si>
  <si>
    <t>10.8a</t>
  </si>
  <si>
    <t>Đoạn đường từ ngã ba nhà bà Hiền (thôn Việt Thanh) đi qua thôn Việt Thanh, thôn Hồng Thái, thôn Thanh Hòa đến ao nhà ông Lễ.</t>
  </si>
  <si>
    <t>10.8b</t>
  </si>
  <si>
    <t>Đoạn đường tránh sân bay nối từ đường đi xã Thanh Hưng với đường đi xã Thanh Luông (để thực hiện dự án Nâng cấp, cải tạo Cảng hàng không Điện Biên): Đoạn từ Nhà ông Hà Văn Cân đến Cầu suối Hoong Pinh</t>
  </si>
  <si>
    <t>10.8c</t>
  </si>
  <si>
    <t>Đoạn từ ngã ba thôn Mỹ Hưng +100m đến ngã ba thôn Hưng Thịnh (nhà ông Bùi Đức Oánh)</t>
  </si>
  <si>
    <t>10.8d</t>
  </si>
  <si>
    <t xml:space="preserve">Đoạn từ ngã ba Lếch Cang đi qua khu tái định cư Hồ Huổi Trạng Tai đến cầu bê tông
</t>
  </si>
  <si>
    <t>10.8đ</t>
  </si>
  <si>
    <t xml:space="preserve">Đường đi Hồ Huổi Trạng Tai: Đoạn từ ngã ba Lếch Cang đến chân đập hồ Huổi Trạng Tai
</t>
  </si>
  <si>
    <t>10.9</t>
  </si>
  <si>
    <t>10.10</t>
  </si>
  <si>
    <t>Xã Thanh Chăn</t>
  </si>
  <si>
    <t>11.1</t>
  </si>
  <si>
    <t>11.2</t>
  </si>
  <si>
    <t>11.3</t>
  </si>
  <si>
    <t>11.4</t>
  </si>
  <si>
    <t>Đường giao thông kết nối các khu vực kinh tế trọng điểm thuộc vùng kinh tế động lực dọc trục Quốc lộ 279 và Quốc lộ 12, tỉnh Điện Biên: Đoạn từ ngã ba Co Mị qua ngã ba Thanh Hồng theo 2 ngã đến kênh thuỷ nông (trừ các vị trí 1,2,3 QL 12 kéo dài) đến hết đất ao nhà ông Nguyễn Văn Tại Thôn Thanh Hồng 11 (tuyến nhánh)</t>
  </si>
  <si>
    <t>11.5</t>
  </si>
  <si>
    <t>11.6</t>
  </si>
  <si>
    <t>11.7</t>
  </si>
  <si>
    <t>Đoạn từ ngã tư Pa Lếch đến hết nhà ông Vượng đội 14</t>
  </si>
  <si>
    <t xml:space="preserve">QL 279: Đoạn từ ngã tư Pa Lếch đến hết nhà ông Vượng bản Pa Lếch
</t>
  </si>
  <si>
    <t>11.8</t>
  </si>
  <si>
    <t xml:space="preserve">Đường đi Na Khưa: Đoạn từ ngã ba thôn Thanh Hà, Thanh Sơn (trừ các vị trí 1,2,3 Quốc lộ 12 Kéo dài) qua bản Na Khưa đến Kênh thủy nông
</t>
  </si>
  <si>
    <t>11.8a</t>
  </si>
  <si>
    <t>Đường giao thông kết nối các khu vực kinh tế trọng điểm thuộc vùng kinh tế động lực dọc trục Quốc lộ 279 và Quốc lộ 12, tỉnh Điện Biên:Đoạn từ giáp xã Thanh Hưng đến giáp xã Thanh Yên (tuyến chính)</t>
  </si>
  <si>
    <t>11.9</t>
  </si>
  <si>
    <t>11.10</t>
  </si>
  <si>
    <t>Xã Thanh Yên</t>
  </si>
  <si>
    <t>12.1</t>
  </si>
  <si>
    <t>12.2</t>
  </si>
  <si>
    <t>12.3</t>
  </si>
  <si>
    <t>12.4</t>
  </si>
  <si>
    <t>12.5</t>
  </si>
  <si>
    <t>Đoạn từ giáp đất nhà bà Phạm Thị Minh đội 2 Tiến Thanh đến hết đất nhà ông Phạm Văn Tạo đội 7 (trừ các vị trí thuộc khu trung tâm xã)</t>
  </si>
  <si>
    <t>12.6</t>
  </si>
  <si>
    <t>12.7</t>
  </si>
  <si>
    <t>CÁC XÃ VÙNG NGOÀI</t>
  </si>
  <si>
    <t>Xã Núa Ngam</t>
  </si>
  <si>
    <t>Xã Hẹ Muông</t>
  </si>
  <si>
    <t>Đường vào trung tâm xã: Đoạn từ ngã 3 bản Pá Hẹ đối diện là nhà ông Lò Văn Thành đến cổng vào trạm Y tế xã</t>
  </si>
  <si>
    <t>Xã Na Tông</t>
  </si>
  <si>
    <t>Xã Mường Nhà</t>
  </si>
  <si>
    <t>QL279C: Đoạn từ nhà ông Tòng Văn Sương (bắt đầu đường đôi) đến cầu Na Phay (đường đôi)</t>
  </si>
  <si>
    <t>4.2a</t>
  </si>
  <si>
    <t xml:space="preserve">QL279C: Đoạn từ đường rẽ lên bản Na Ố đến tiếp giáp nhà ông Tòng Văn Sương (bắt đầu đường đôi)
</t>
  </si>
  <si>
    <t>Các trục đường giao thông liên thôn, nội thôn bản tương đương</t>
  </si>
  <si>
    <t>Xã Mường Pồn</t>
  </si>
  <si>
    <t>QL 12: Đoạn từ giáp xã Hua Thanh đến đất nhà ông Thanh Dạ (bản Co Chạy 1)</t>
  </si>
  <si>
    <t>QL 12: Đoạn từ hết đất nhà ông Thanh Dạ (bản Co Chạy 1) đến hết đất dân cư bản Lĩnh</t>
  </si>
  <si>
    <t>Xã Phu Luông</t>
  </si>
  <si>
    <t>Xã Mường Lói</t>
  </si>
  <si>
    <t>Xã Na Ư</t>
  </si>
  <si>
    <t>Xã Pa Thơm</t>
  </si>
  <si>
    <t>Đoạn từ giáp xã Noong Luống đến cầu bê tông suối Tát Mạ</t>
  </si>
  <si>
    <t xml:space="preserve">Từ cầu Tát Mạ đi Xa Cuông đến hết bản Pa Xa Xá </t>
  </si>
  <si>
    <t>Từ ngã ba bản Pa Xa Lào đi qua ngã ba đường lên Động Pa Thơm đến hết đất nhà văn hóa bản Pa Thơm</t>
  </si>
  <si>
    <t>Trục đường vào bản Pa Xa Lào</t>
  </si>
  <si>
    <t>VI</t>
  </si>
  <si>
    <t>VII</t>
  </si>
  <si>
    <t>2.3. HUYỆN ĐIỆN BIÊN ĐÔNG</t>
  </si>
  <si>
    <t>Theo Quyết định số 53/2019/QĐ-UBND ngày 31/12/2019 của UBND tỉnh Điện Biên;</t>
  </si>
  <si>
    <t xml:space="preserve"> Quyết định số 30/2021/QĐ-UBND ngày 20/12/2021 của UBND tỉnh Điện Biên</t>
  </si>
  <si>
    <t>XÃ PHÌ NHỪ</t>
  </si>
  <si>
    <t>Trung tâm UBND xã Phì Nhừ  hướng đi xã Xa Dung 1km, hướng đi xã Chiềng Sơ 1,5km, hướng đi ngã tư Phì Nhừ 100m (lấy trọn thửa đất)</t>
  </si>
  <si>
    <t xml:space="preserve">Chợ trung tâm cụm xã Suối Lư </t>
  </si>
  <si>
    <t xml:space="preserve"> Chợ trung tâm cụm xã Suối Lư (từ hạt Kiểm lâm đến khu vực Cửa hàng thương nghiệp</t>
  </si>
  <si>
    <t>Chợ trung tâm cụm xã Suối Lư (Từ thửa đất số 34, tờ bản đồ số 187 đến hết thửa đất số 1 tờ bản đồ số 48)</t>
  </si>
  <si>
    <t xml:space="preserve"> Khu vực trục đường chính cầu Suối Lư đến hết Khu quy hoạch trung tâm cụm xã hướng Suối Lư - Phì Nhừ (đầu cầu Suối Lư đến hết thửa số 10 tờ bản đồ 194 đất nhà ông Phạm Quang Hưng)</t>
  </si>
  <si>
    <t>Khu vực còn lại của trung tâm cụm xã theo quy hoạch</t>
  </si>
  <si>
    <t xml:space="preserve">Khu vực ngã tư Phì Nhừ: Hướng đi Phình Giàng 400m, hướng đi Mường Luân 500m, Hướng đi Suối Lư 600m, hướng đi UBND xã 150m </t>
  </si>
  <si>
    <t>Các bản bám trục đường QL12</t>
  </si>
  <si>
    <t>Các vị trí còn lại bám trục đường QL 12</t>
  </si>
  <si>
    <t>Khu vực bản Na Nghịu từ thửa số 31 tờ bản đồ 214 (ông Lò Văn Hải) đến cầu Pá Vạc (giáp xã Mường Luân)</t>
  </si>
  <si>
    <t>Khu vực bản Na Nghịu từ thửa số 31 tờ bản đồ 214 (ông Lò Văn Hải) đến cầu Pá Vạt (giáp xã Mường Luân)</t>
  </si>
  <si>
    <t>Các bản còn lại xa trung tâm xã</t>
  </si>
  <si>
    <t>Các bản còn lại xa trung tâm xã; Đường nhánh và các vị trí còn lại</t>
  </si>
  <si>
    <t>XÃ MƯỜNG LUÂN</t>
  </si>
  <si>
    <t>Từ thửa số 256 tờ bản đồ 143 (Quàng Văn Hợp – Quàng Thị Phương) đến thửa số 52 tờ bản đồ 146 (Quàng Thị Um)</t>
  </si>
  <si>
    <t>Từ thửa số 52 tờ bản đồ 146 (Quàng Thị Um) đến thửa số 31 tờ bản đồ 163 (Lò Thị Định hướng đi Luân Giói) đến mốc HIII 099415 (hướng đi Chiềng Sơ)</t>
  </si>
  <si>
    <t>Từ thửa 95 tờ bản đồ 181 (Lò Văn Pan – Lò Thị Hổi) đối diện thửa 42 tờ bản đồ 181 (đất UBND xã) đến thửa 101 tờ bản đồ 182 (Đoàn Văn Năm – Lê Thanh Nga) đối diện thửa 15 tờ bản đồ 182 (Lò Văn Vương – Lò Thị On) bản Pá Vạt ;</t>
  </si>
  <si>
    <t xml:space="preserve"> Từ thửa 95 tờ bản đồ 181 (Lò Văn Pan – Lò Thị Hổi) đối diện thửa 42 tờ bản đồ 181 (đất UBND xã) đến thửa 101 tờ bản đồ 182 (Đoàn Văn Năm – Lê Thanh Nga) </t>
  </si>
  <si>
    <t>Từ thửa 78 tờ bản đồ 56 đến thửa 78 tờ bản đồ 170 (Lường Thị Ninh) đối diện thửa 52 tờ bản đồ 170 (đất UBND xã) bản Na Ca – Na Pục</t>
  </si>
  <si>
    <t>Từ thửa 99 tờ bản đồ 156 đến thửa 78 tờ bản đồ 170 (Lường Thị Ninh) đối diện thửa 52 tờ bản đồ 170 (đất UBND xã) bản Na Ca – Na Pục</t>
  </si>
  <si>
    <t xml:space="preserve">Từ thửa 31 tờ bản đồ 163 (Lò Thị Định) đến giáp xã Luân Giói </t>
  </si>
  <si>
    <t xml:space="preserve">Từ mốc HIII 099415 đến giáp xã Chiềng Sơ </t>
  </si>
  <si>
    <t xml:space="preserve">Các bản còn lại xa trung tâm xã </t>
  </si>
  <si>
    <t>Ngã ba mốc 3X.42 hướng đi Phì Nhừ 1km, hướng đi Mường Luân 3km</t>
  </si>
  <si>
    <t>XÃ KEO LÔM</t>
  </si>
  <si>
    <t xml:space="preserve"> Trung tâm UBND xã (từ đường vào bản Xì Cơ đến hết đất nhà ông Tuần; đường vào bản Trung Sua 500m) </t>
  </si>
  <si>
    <t xml:space="preserve"> Khu vực trục đường chính cầu Suối Lư từ đất nhà bà Trần Thị Hường đến hết đất nhà ông Nguyễn Văn Toàn (từ thửa số 36 tờ bản đồ 124 thửa số 33 tờ bản đồ 124)</t>
  </si>
  <si>
    <t xml:space="preserve"> Khu vực trục đường chính cầu Suối Lư từ đất nhà bà Trần Thị Hường đến hết đất nhà ông Nguyễn Văn Toàn (từ thửa số 1 tờ bản đồ 124 thửa số 53 tờ bản đồ 124)</t>
  </si>
  <si>
    <t xml:space="preserve"> Các bản dọc đường QL 12</t>
  </si>
  <si>
    <t xml:space="preserve">Ngã ba Trại Bò từ thửa đất số 270 tờ bản đồ 20 (Vàng Quốc Minh – Vừ Thị Dợ) hướng đi trung tâm huyện 1 km </t>
  </si>
  <si>
    <t xml:space="preserve">Khu tái định cư bãi Huổi Po </t>
  </si>
  <si>
    <t xml:space="preserve">Đường bê tông có khổ rộng 3 m </t>
  </si>
  <si>
    <t xml:space="preserve"> Các bản còn lại xa trung tâm xã</t>
  </si>
  <si>
    <t>XÃ PU NHI</t>
  </si>
  <si>
    <t xml:space="preserve"> Khu vực ngã ba lên UBND xã bám theo đường huyện lộ hướng đi thành phố Điện Biên Phủ 300m, hướng đi bản Pu Nhi hết bản Nậm Ngám A (chân đập) (Lấy trọn thửa)</t>
  </si>
  <si>
    <t xml:space="preserve"> Các bản dọc trục đường huyện lộ </t>
  </si>
  <si>
    <t xml:space="preserve"> Khu vén dân tái định cư</t>
  </si>
  <si>
    <t>- Các lô từ N1 đến N26</t>
  </si>
  <si>
    <t>- Các lô từ N26-1 đến N28-2</t>
  </si>
  <si>
    <t>- Các lô từ N53 đến N70</t>
  </si>
  <si>
    <t>- Các lô từ N34 đến N52</t>
  </si>
  <si>
    <t>Đoạn từ hồ Nậm Ngám đi các bản Sư Lư xã Na Son (tính đến hết đường bê tông thuộc địa phận xã)</t>
  </si>
  <si>
    <t>XÃ LUÂN GIÓI</t>
  </si>
  <si>
    <t xml:space="preserve"> Đoạn Trung tâm UBND xã (bám theo trục đường giao thông liên xã, từ đất nhà ông Tòng Văn Hiên đến ngã ba đi Na Ngua, Pá Khôm)</t>
  </si>
  <si>
    <t xml:space="preserve"> Đoạn Từ nhà ông Tòng Văn Hiên đến giáp xã Mường Luân</t>
  </si>
  <si>
    <t xml:space="preserve"> Ngã 3 đi Na Ngua, Pá Khôm đến cầu bê tông bản Na Ngua - đến cầu Pá Khôm (Nậm Mạt)</t>
  </si>
  <si>
    <t>XÃ CHIỀNG SƠ</t>
  </si>
  <si>
    <t xml:space="preserve"> Đoạn từ trung tâm bản Kéo đi sông Mã, từ trung tâm bản Kéo đi Mường Luân, từ trung tâm bản Kéo đi bản Cang</t>
  </si>
  <si>
    <t xml:space="preserve"> Các bản vùng thấp (bản Pá Nặm A, B, bản Kéo, bản Co Mỵ)</t>
  </si>
  <si>
    <t>Đoạn từ cầu treo vào UBND xã mới, ngã 3 hướng đi xã Phì Nhừ 600m</t>
  </si>
  <si>
    <t xml:space="preserve"> Đoạn đường bê tông từ bản Pá Nặm đi xã Phì Nhừ</t>
  </si>
  <si>
    <t xml:space="preserve"> Đoạn đường bê tông từ bản Pá Nậm đi xã Phì Nhừ</t>
  </si>
  <si>
    <t xml:space="preserve"> XÃ NA SON</t>
  </si>
  <si>
    <t xml:space="preserve"> Trung tâm UBND xã (từ cầu Na Phát đến cổng trường THCS Na Phát, theo đường đi Xa Dung đến hết đất nhà ông Hoàng Bá Hà)</t>
  </si>
  <si>
    <t>Trung tâm UBND xã (Từ cầu Na Phát đến cổng trường THCS Na Phát, theo đường đi Xa Dung đến hết thửa đất số 119 Tờ bản đồ số 99)</t>
  </si>
  <si>
    <t xml:space="preserve">Các bản dọc trục đường liên xã </t>
  </si>
  <si>
    <t xml:space="preserve"> Đoạn từ cầu Na Phát đến thửa 294 tờ bản đồ 101 (Lường Văn Lún – Quàng Thị Pâng)</t>
  </si>
  <si>
    <t>Đoạn từ nhà ông Hoàng Bá Hà đến ngầm Huổi Nhóng</t>
  </si>
  <si>
    <t>Tiếp theo thửa đất số 119 Tờ bản đồ số 99 đến ngầm Huổi Nhóng, thửa đất số 4 Tờ bản đồ số 98</t>
  </si>
  <si>
    <t>VIII</t>
  </si>
  <si>
    <t>XÃ XA DUNG</t>
  </si>
  <si>
    <t xml:space="preserve"> Trung tâm UBND xã (bám theo trục đường: đi bản Chóng 600m, đi Phì Nhừ 300m, đi Na Son 500m, lấy trọn thửa đất)</t>
  </si>
  <si>
    <t xml:space="preserve">Khu tái định cư tại bản Mường tỉnh A. </t>
  </si>
  <si>
    <t xml:space="preserve">Đường bê tông có khổ rộng 4 m </t>
  </si>
  <si>
    <t>Các bản dọc trục đường liên xã</t>
  </si>
  <si>
    <t>IX</t>
  </si>
  <si>
    <t xml:space="preserve">XÃ PHÌNH GIÀNG </t>
  </si>
  <si>
    <t xml:space="preserve"> Đường bê tông từ trung tâm UBND xã đến hết đất nhà ông Giàng Nhìa Sùng (vợ Vàng Thị Dếnh) (lấy trọn thửa)</t>
  </si>
  <si>
    <t>Đoạn từ giáp đất ông Giàng Nhìa Sùng (vợ Vàng Thị Dếnh) đến cầu Huổi Có</t>
  </si>
  <si>
    <t>X</t>
  </si>
  <si>
    <t>XÃ HÁNG LÌA</t>
  </si>
  <si>
    <t xml:space="preserve">Trung tâm UBND xã mới đến ngã 3 đường đi Tìa Mùng </t>
  </si>
  <si>
    <t>Đoạn từ trụ sở UBND xã mới sang xã Tìa Dình 1 km</t>
  </si>
  <si>
    <t xml:space="preserve"> Các bản dọc trục đường liên xã</t>
  </si>
  <si>
    <t>XI</t>
  </si>
  <si>
    <t>XÃ TÌA DÌNH</t>
  </si>
  <si>
    <t xml:space="preserve">Khu Quy hoạch  trung tâm xã </t>
  </si>
  <si>
    <t>Đường nhựa 9,5m</t>
  </si>
  <si>
    <t>Đường nhựa 6,5m</t>
  </si>
  <si>
    <t>Đường nhựa 4 m</t>
  </si>
  <si>
    <t>Trung tâm UBND xã (bám theo trục đường chính bắt đầu từ cổng hàng rào của bản Tìa Dình 1 đến hết cống nước của trạm Y tế xã Tìa Dình)</t>
  </si>
  <si>
    <t>Đoạn từ trục đường chính bắt đầu từ cổng hàng rào của bản Tìa Dình 1 đến hết cống nước của trạm Y tế xã Tìa Dình)</t>
  </si>
  <si>
    <t>Từ ngã 3 Trạm y tế xã Tìa Dình đến khu tái định cư di rời các hộ dân bản Tìa Dình B, C ra khỏi khu sạt lở</t>
  </si>
  <si>
    <t>XII</t>
  </si>
  <si>
    <t>XÃ PÚ HỒNG</t>
  </si>
  <si>
    <t xml:space="preserve"> Trung tâm UBND xã (hướng đi xã Mường Nhà đến hết đất nhà ông Lầu A Chía - Sềnh Thị Xua; hướng đi Phình Giàng 700m)</t>
  </si>
  <si>
    <t>Từ đất nhà ông Lầu A Chía - Sềnh Thị Xua đến hết nhà ông Sùng A Tú - Lầu Thị Mai (cạnh đường lên trạm phát sóng Viettel)</t>
  </si>
  <si>
    <t xml:space="preserve">Ngã 3 rẽ vào trường mầm non, tiểu học, THCS xã Pú Hồng (hướng đi Mường Nhà 200m, hướng đi UBND xã Pú Hồng 200m, hướng đi vào trường 200m); Ngã 3 đi bản Chả B, C (hướng đi UBND Pú Hồng 100m, hướng đi xã Phình Giàng 100m, hướng đi bản Chả B, C 100m); Ngã 3 đi bản Chả A (hướng đi Mường Nhà 50m, hướng đi Phình Giàng 50m); Ngã 3 cầu treo vào các bản Nà Nếnh C (hướng đi UBND xã 100m, hướng đi xã Phình Giàng 30m) </t>
  </si>
  <si>
    <t>XIII</t>
  </si>
  <si>
    <t>XÃ NONG U</t>
  </si>
  <si>
    <t xml:space="preserve"> Trung tâm UBND xã (bán kính 400 m so với trụ sở UBND xã, lấy trọn thửa đất)</t>
  </si>
  <si>
    <t>Đoạn dọc QL 12</t>
  </si>
  <si>
    <t xml:space="preserve"> Bản Tà Té A, B, C, D (Trường tiểu học Tà Té bán kính 150 m so với điểm trường)</t>
  </si>
  <si>
    <t xml:space="preserve">Theo Quyết định số 53/2019/QĐ-UBND ngày 31/12/2019 của UBND tỉnh ban hành bảng giá đất và quy định áp dụng bảng giá đất trên địa bàn tỉnh Điện Biên từ ngày 01/01/2020 đến ngày 31/12/2024 và các Quyết định sửa đổi, bổ sung: Số 30/2021/QĐ-UBND ngày 20/12/2021 của UBND tỉnh </t>
  </si>
  <si>
    <t>Xã Ẳng Nưa</t>
  </si>
  <si>
    <t>Đoạn đường đi Thị trấn Mường Ảng: từ cầu bản Lé đến Mốc 364 (2x.1)</t>
  </si>
  <si>
    <t>Từ ngã ba gia đình nhà Tuấn Hương (qua ngã ba Tin Tốc) đến biên đất trạm y tế xã</t>
  </si>
  <si>
    <t xml:space="preserve">Từ ngã ba gia đình nhà Hà Chung 
(Qua ngã ba Tin Tốc, qua bản Co Hắm, bản Củ) đến cầu bản Lé </t>
  </si>
  <si>
    <t>Đoạn đường bê tông (Cổng bản văn hóa bản Cang) từ nhà bà Mai (Thi) đến hết biên đất nhà Mạnh Thức</t>
  </si>
  <si>
    <t>Đoạn đường từ bản Củ đến bản Lé (gia đình ông Lò Văn Héo)</t>
  </si>
  <si>
    <t>Đoạn đường đi bản Mới: Từ cầu bản Lé đến hết bản mới (gia đình ông Lò Văn Chỉnh)</t>
  </si>
  <si>
    <t>Đoạn đường đi bản Mới: Từ ngã ba bản Củ đến hết bản Mới ( Gia đình ông Lò Văn Chỉnh)</t>
  </si>
  <si>
    <t>Đoạn từ gia đình ông Lù Văn Văn đến ngã ba (gia đình bà Lò Thị Phương bản Bó Mạy)</t>
  </si>
  <si>
    <t>Đoạn từ nhà bà: Lò Thị Phương (bản Bó Mạy) đến giáp ranh giới TT Mường Ảng (biên đất gia đình ông Lò Văn Hom tổ dân phố 3).</t>
  </si>
  <si>
    <t>Các bản vùng thấp:</t>
  </si>
  <si>
    <t>1.8.1</t>
  </si>
  <si>
    <t>Ven trục đường dân sinh nội xã (liên bản).</t>
  </si>
  <si>
    <t>1.7.1</t>
  </si>
  <si>
    <t>1.8.2</t>
  </si>
  <si>
    <t>Các vị trí còn lại.</t>
  </si>
  <si>
    <t>1.7.2</t>
  </si>
  <si>
    <t>Các bản vùng cao:</t>
  </si>
  <si>
    <t>1.9.1</t>
  </si>
  <si>
    <t>Ven trục đường dân sinh nội xã (liên bản)</t>
  </si>
  <si>
    <t>1.9.2</t>
  </si>
  <si>
    <t>Các vị trí còn lại</t>
  </si>
  <si>
    <t>Đoạn từ nhà ông: Tòng Văn Tại (bản Bó Mạy) đến giáp ranh giới TT Mường Ảng (sau khu trung tâm hành chính)</t>
  </si>
  <si>
    <t>Xã Ẳng Cang</t>
  </si>
  <si>
    <t>Đoạn đường rẽ vào khu tái định cư bản Hón (TT Mường Ảng) đến hết ranh giới bản Hua Ná.</t>
  </si>
  <si>
    <t>Khu TĐC Bản Mánh Đanh 1</t>
  </si>
  <si>
    <t>2.2.1</t>
  </si>
  <si>
    <t>Đoạn từ biên đất trường Mầm non đến hết biên đất trung tâm sinh hoạt cộng đồng</t>
  </si>
  <si>
    <t>2.2.2</t>
  </si>
  <si>
    <t>Các đoạn đường bê tông còn lại trong khu tái định cư</t>
  </si>
  <si>
    <t>2.2.3</t>
  </si>
  <si>
    <t>Khu đất quy hoạch tái định cư bản Hua Ná</t>
  </si>
  <si>
    <t>2.3.1</t>
  </si>
  <si>
    <t>Ven trục đường dân sinh nội xã (Liên bản).</t>
  </si>
  <si>
    <t>2.3.2</t>
  </si>
  <si>
    <t>2.4.1</t>
  </si>
  <si>
    <t>Ven trục đường dân sinh nội xã (Liên bản)</t>
  </si>
  <si>
    <t>2.4.2</t>
  </si>
  <si>
    <t>Đoạn đường từ ngã ba methadol đến đài tưởng niệm</t>
  </si>
  <si>
    <t>Đoạn đường từ nhà ông Xôm Toạn bản Giảng đến biên đất nhà ông Lả Xoan bản Noong Háng</t>
  </si>
  <si>
    <t>Đoạn đường từ ngã ba nhà ông Lù Văn Hội bản Sáng đến ngã ba nhà ông Lù Văn Ánh bản Huổi Sứa</t>
  </si>
  <si>
    <t>Đoạn đường từ ngã ba nhà ông Lù Văn Hội bản Hón Sáng đến ngã ba nhà ông Lù Văn Ánh bản Huổi Sứa</t>
  </si>
  <si>
    <t>Xã Ẳng Tở</t>
  </si>
  <si>
    <t>3.1.1</t>
  </si>
  <si>
    <t>3.1.2</t>
  </si>
  <si>
    <t>3.2.1</t>
  </si>
  <si>
    <t>3.2.2</t>
  </si>
  <si>
    <t>Đoạn QL 279 từ biên đất gia đình ông Lò Văn Ngoan (Ngoãn) đến ranh giới hành chính 364 (Ẳng Tở TT Mường Ảng)</t>
  </si>
  <si>
    <t>Đoạn đường QL 279 từ biên đất gia đình bà Lò Thị Ín (bản Bua) đến biên đất trụ sở xã Ẳng Tở.</t>
  </si>
  <si>
    <t>3.4.1</t>
  </si>
  <si>
    <t>Đoạn đường QL 279 từ biên đất gia đình bà Lò Thị Ín (bản Bua 2) đến đường rẽ vào trường THCS bản Bua (Đối diện từ biên đất gia đình bà Đinh Thị Mây)</t>
  </si>
  <si>
    <t>3.4.2</t>
  </si>
  <si>
    <t>Đoạn đường QL 279 từ đường rẽ vào trường THCS bản Bua (Đối diện từ biên đất gia đình bà Đinh Thị Mây) đến hết biên đất gia đình ông Cần Mẫn (Đối diện hết đường rẽ vào Trạm Y tế xã)</t>
  </si>
  <si>
    <t>3.4.3</t>
  </si>
  <si>
    <t>Đoạn từ biên đất gia đình ông Cần Mẫn (Đối diện hết biên đất đường rẽ vào Trạm Y tế xã) đến hết biên đất trụ sở xã (Đối diện hết biên đất gia đình nhà ông Trường Loan)</t>
  </si>
  <si>
    <t>3.4.4</t>
  </si>
  <si>
    <t>Đoạn từ QL 279 đến hết biên đất nhà ông Lò Văn Thi (Mến) bản Tọ</t>
  </si>
  <si>
    <t>3.4.5</t>
  </si>
  <si>
    <t>Đoạn từ biên đất nhà ông Lò Văn Thi (Mến) Bản Tọ đến giáp ranh xã Ngối Cáy</t>
  </si>
  <si>
    <t>3.4.6</t>
  </si>
  <si>
    <t>Đoạn từ QL 279 (Km34 500) đến hết biên đất Khu đồi tăng</t>
  </si>
  <si>
    <t>Xã Búng Lao</t>
  </si>
  <si>
    <t>Đoạn đường QL 279 trung tâm xã Búng Lao: Từ đầu cầu bản Bó đến đầu cầu treo bản Búng</t>
  </si>
  <si>
    <t>4.1.1</t>
  </si>
  <si>
    <t>Đoạn đường từ đầu cầu bản Bó đến biên đất gia đình ông Phấn (đối diện hết biên đất gia đình ông Ngô Viết Hanh)</t>
  </si>
  <si>
    <t>4.1.2</t>
  </si>
  <si>
    <t>Đoạn đường từ đất gia đình ông Phấn đến đường rẽ vào bản Xuân Tre</t>
  </si>
  <si>
    <t>Đoạn đường từ đất gia đình ông Phấn đến hết đất nhà Hương Thọ (quán bán nước)</t>
  </si>
  <si>
    <t>4.1.3</t>
  </si>
  <si>
    <t>Đoạn từ đường rẽ vào bản Xuân Tre đến hết đất gia đình ông Doan Linh (Đối diện trạm bơm nước)</t>
  </si>
  <si>
    <t>Đoạn đường từ nhà Khánh Hằng đến hết phần đất của gia đình ông  Dũng Linh (Đối diện nhà nghỉ Hạnh Mai)</t>
  </si>
  <si>
    <t>4.1.4</t>
  </si>
  <si>
    <t>Từ trạm bơm đến đầu cầu treo bản Búng.</t>
  </si>
  <si>
    <t>4.1.5</t>
  </si>
  <si>
    <t>Từ biên đất nhà ông Lò Văn Tưởng đến đầu cầu treo bản Búng</t>
  </si>
  <si>
    <t>Từ đầu cầu treo bản Búng đến hết quán cây Keo</t>
  </si>
  <si>
    <t>Đoạn đường liên bản từ đầu cầu bản Búng (gia đình ông Lò Văn Phương Bắc) đến hết sân vận động cũ được chia thành 03 đoạn nhỏ</t>
  </si>
  <si>
    <t>4.2.1</t>
  </si>
  <si>
    <t>Đoạn đường liên bản từ đầu cầu bản Búng (gia đình ông Lò Văn Phương Bắc) đến hết đất gia đình ông Lò Văn Bang (bản Búng)</t>
  </si>
  <si>
    <t>Đoạn đường từ đầu cầu treo bản Búng (từ biên đất nhà ông Phương Bắc) đến hết phần đất của gia đình ông Lường Văn Lưu Thương đầu cầu bê tông bản Khu Chợ.</t>
  </si>
  <si>
    <t>4.2.2</t>
  </si>
  <si>
    <t>Đoạn đường từ nhà ông Lò Văn Bang đến hết đất gia đình ông Lò Văn Nuôi (bản Xuân Món)</t>
  </si>
  <si>
    <t>Đoạn đường từ biên đất của gia đình ông Lương Văn Lưu Thương (đầu cầu bê tông bản Khu Chợ)  đến hết phần đất của gia đình ông Lường Văn Nuôi bản Xuân Món.</t>
  </si>
  <si>
    <t>4.2.3</t>
  </si>
  <si>
    <t>Đoạn từ nhà ông Lò Văn Nuôi (bản Xuân Món) đến hết đất sân vận động cũ</t>
  </si>
  <si>
    <t>Đoạn từ đầu cầu bản Búng đến hết đất gia đình ông Lò Văn Thận</t>
  </si>
  <si>
    <t>Đoạn đường từ biên đất của gia đình ông Lường Văn Thời ngã tư đầu cầu treo bản Búng đến hết phần đất của gia đình ông Quàng Văn Cường (bản Nà Lấu).</t>
  </si>
  <si>
    <t>Đoạn đường từ đất của gia đình ông Tòng Văn Hưng đến hết đất nhà ông Quàng Văn Ăm (bản Nà Lấu)</t>
  </si>
  <si>
    <t>Đoạn nhà ông Lò Văn Thận đến hết đất ông Lò Văn Nọi</t>
  </si>
  <si>
    <t>Đoạn từ ngã ba cầu bản Búng: Từ biên đất nhà ông Lò Văn Tới đến hết đất gia đình ông Tòng Văn Xôm</t>
  </si>
  <si>
    <t>Từ ngã tư đầu cầu treo bản Búng: Từ biên đất nhà ông Lường Văn Ộ đến hết đất gia đình ông Tòng Văn Xôm.</t>
  </si>
  <si>
    <t>Đoạn từ đầu cầu bản Nà Dên đến hết bản Nà Dên</t>
  </si>
  <si>
    <t>Đoạn từ Cầu bản Hồng Sọt đến mốc 364 (Búng Lao Ẳng Tở)</t>
  </si>
  <si>
    <t>Đoạn đường bê tông đi Xuân Tre đến ngã ba nhà ông Lò Văn Doan</t>
  </si>
  <si>
    <t>Đoạn từ biên đất nhà ông Lò Văn Doan đến đường vào khu thể thao xã Búng Lao</t>
  </si>
  <si>
    <t>4.10</t>
  </si>
  <si>
    <t>Đoạn từ nhà ông Quàng Văn Sinh đến hết đất ông Lò Văn Kiêm (bản Xuân Tre)</t>
  </si>
  <si>
    <t>4.11</t>
  </si>
  <si>
    <t>Đoạn đường từ nhà ông Lường Văn Phận đến hết đất ông Lường Văn Thuận (bản Xuân Tre)</t>
  </si>
  <si>
    <t>4.12</t>
  </si>
  <si>
    <t>Đoạn đường từ nhà hàng Hiển Lan đến đường vào Khu thể thao xã Búng Lao (bản Co Nỏng)</t>
  </si>
  <si>
    <t>4.13</t>
  </si>
  <si>
    <t>Từ nhà Quàng Văn Tạm đến đất nhà ông Lò Văn Ỏ</t>
  </si>
  <si>
    <t>4.14</t>
  </si>
  <si>
    <t>-</t>
  </si>
  <si>
    <t>4.15</t>
  </si>
  <si>
    <t>Xã Xuân Lao</t>
  </si>
  <si>
    <t>Đoạn đường liên xã từ đầu cầu số 1 đến đầu cầu số 2</t>
  </si>
  <si>
    <t>Đoạn từ cầu số 2 đến hết bản Pí</t>
  </si>
  <si>
    <t>Đoạn từ đầu cầu số 1 đến hết bản Co Hịa</t>
  </si>
  <si>
    <t>Đường bê tông từ nhà ông Lò Văn Lún (Thành) (bản Pá Lạn) đến đầu cầu số 1 (bản Pá Lạn)</t>
  </si>
  <si>
    <t>Xã Mường Lạn</t>
  </si>
  <si>
    <t>Từ biên đất gia đình ông Tòng Văn Trưởng bản Bon đi qua trung tâm xã đến hết đất gia đình ông Chơi Tuấn bản Lạn</t>
  </si>
  <si>
    <t>Xã Nặm Lịch</t>
  </si>
  <si>
    <t>Đoạn từ biên đất gia đình ông Quàng Văn Học bản Lịch Cang đến hết đất gia đình ông Lò Văn Hùng bản Ten.</t>
  </si>
  <si>
    <t>7.1a</t>
  </si>
  <si>
    <t>Đường nhựa từ ngã 3 bản Pú Súa, xã Ẳng Cang đến hết biên đất gia đình ông Lò Văn Dong bản Ten, xã Nặm Lịch</t>
  </si>
  <si>
    <t>7.1b</t>
  </si>
  <si>
    <t>Đoạn đường bê tông từ ngã 3 nhà ông Lò Văn Chủ, bản Lịch Cang, xã Nặm Lịch đến bản Pá Nặm, xã Mường Lạn</t>
  </si>
  <si>
    <t>Ven trục đường dân sinh nội xã (Liên xã).</t>
  </si>
  <si>
    <t>Xã Mường Đăng</t>
  </si>
  <si>
    <t>Đoạn từ trường THCS đến hết bản Ban</t>
  </si>
  <si>
    <t>Đoạn từ đỉnh đèo Tằng Quái (Nhà ông Nguyễn Hải Đường) đến trung tâm bản Xôm</t>
  </si>
  <si>
    <t>Ven trục đường dân sinh nội xã (Liên xã)</t>
  </si>
  <si>
    <t>Xã Ngối Cáy</t>
  </si>
  <si>
    <t>Trung tâm xã đến cầu treo bản Cáy</t>
  </si>
  <si>
    <t>Toàn bộ các bản còn lại dọc theo trục đường QL 279</t>
  </si>
  <si>
    <t>Xã Quài Cang</t>
  </si>
  <si>
    <t>Quốc lộ 6A</t>
  </si>
  <si>
    <t>Đoạn đường bắt đầu từ địa phận đất Quài Cang đi về phía Mường Lay đến cầu bản Sái</t>
  </si>
  <si>
    <t>Từ cầu bản Sái đến đất nhà ông Thông</t>
  </si>
  <si>
    <t>Đoạn đường từ QL6 đến kênh Long Tấu</t>
  </si>
  <si>
    <t>Từ đất nhà Lan Hà đến cổng  trường Mầm Non Quài Cang</t>
  </si>
  <si>
    <t>Đoạn đường từ trường Mầm non Quài Cang đến nhà ông Tiêng bản Cón</t>
  </si>
  <si>
    <t>Từ nhà ông Tiêng bản Cón đến nhà ông Thi bản Cón</t>
  </si>
  <si>
    <t>Các bản: Ten Cá, bản Cong, bản Khá, bản Phủ, bản Phung, bản Hán, bản Cuông, bản Trạng</t>
  </si>
  <si>
    <t>Các bản còn lại</t>
  </si>
  <si>
    <t>Đoạn từ QL6 đến nhà ông Hùng bản Cản (đoạn rẽ đi bản Phủ) - xã Quài Cang</t>
  </si>
  <si>
    <t>Xã Quài Nưa</t>
  </si>
  <si>
    <t>Từ ngầm tràn đến hết đất trụ sở UBND xã cũ đối diện bên kia đến đất nhà ông Thân</t>
  </si>
  <si>
    <t>Từ đất nhà ông Thân đối diện là hết đất trụ sở UBND xã đến hết ngã ba Minh Thắng</t>
  </si>
  <si>
    <t>Từ ngã ba Minh Thắng đến hết nhà bà Bé ông Thuần (đường Pú Nhung)</t>
  </si>
  <si>
    <t>Từ ngã ba Minh Thắng đến hết nhà bà Thu Tịnh, ông Luân (đường QL 6A)</t>
  </si>
  <si>
    <t>Từ nhà ông Hậu đến hết nhà ông Hải (đường Minh Thắng- Pú Nhung)</t>
  </si>
  <si>
    <t>Từ cây xăng, giáp nhà ông Luân đến hết trường mầm non xã Quài Nưa</t>
  </si>
  <si>
    <t>Bản Ma Khúa</t>
  </si>
  <si>
    <t>Xã Quài Tở</t>
  </si>
  <si>
    <t>Quốc lộ 6A đi Hà Nội</t>
  </si>
  <si>
    <t>Bắt đầu từ địa phận đất Quài Tở đi về phía Hà Nội đến nhà ông Huê giáp khe Huổi Lướng</t>
  </si>
  <si>
    <t>Từ nhà ông Huê giáp khe suối Huổi Lướng đến hết nhà ông Lả (Trạm điện 110)</t>
  </si>
  <si>
    <t>Từ nhà ông Lả (đối diện trạm điện 110) đến trụ sở UBND xã cũ (đối diện hết đất nhà ông Lò Văn Toàn)</t>
  </si>
  <si>
    <t>Từ trụ sở UBND xã cũ (đối diện hết đất nhà ông Lò Văn Toàn) đến hết đất nhà ông Lò Văn Tuân (đối diện là nhà ông Lò Văn Đướm)</t>
  </si>
  <si>
    <t>Quốc lộ 6 rẽ lên nghĩa trang mới đến sân bóng, đến nhà ông Vui Nga (đối diện là nhà bà Thanh)</t>
  </si>
  <si>
    <t>Các bản: Hua Ca, bản Hới 1, bản Hới 2, bản Món, bản Có, bản Đứa</t>
  </si>
  <si>
    <t xml:space="preserve">Bản Thẳm Pao </t>
  </si>
  <si>
    <t>Xã Mùn Chung</t>
  </si>
  <si>
    <t>Từ ngã ba Huổi Lóng đến: cầu Mùn Chung đi Tủa Chùa; cống qua đường về phía Tuần Giáo; Biển thị tứ đường đi Mường Lay</t>
  </si>
  <si>
    <t>Đường vào trường cấp III Mùn Chung</t>
  </si>
  <si>
    <t>Đoạn đường từ cống qua đường về phía Tuần Giáo đến chân đèo</t>
  </si>
  <si>
    <t>Từ cầu Huổi Lóng đến hết nhà ông Giót bản Huổi Lóng (đường đi Tủa Chùa)</t>
  </si>
  <si>
    <t>Các bản: Huổi Cáy, Co Sản</t>
  </si>
  <si>
    <t>Xã Nà Tòng</t>
  </si>
  <si>
    <t>Các bản: Nậm Bay, Pá Tong, Nà Tòng, Pa Cá</t>
  </si>
  <si>
    <t>Xã Pú Nhung</t>
  </si>
  <si>
    <t>Các bản: Tênh Lá, Trung Dình</t>
  </si>
  <si>
    <t>Xã Mường Mùn</t>
  </si>
  <si>
    <t>Từ ngã ba đến nhà ông Chính đường đi Mường Lay, từ ngã ba đến cổng trụ sở xã, từ ngã ba đến cầu Mường Mùn</t>
  </si>
  <si>
    <t>Từ cầu Mường Mùn đi Tuần Giáo đến nhà ông Hướng ông Huỳnh</t>
  </si>
  <si>
    <t>Từ giáp nhà ông Chính đến hết nhà ông Điêu Chính Chếnh đi Mường Lay</t>
  </si>
  <si>
    <t>Từ ngã ba Mường Mùn đến bản Hồng Phong</t>
  </si>
  <si>
    <t>Các bản: Pú Piến, Gia Bọp, Huổi Cáy 2</t>
  </si>
  <si>
    <t>Xã Chiềng Sinh</t>
  </si>
  <si>
    <t>Quốc lộ 279: Đoạn từ cầu treo bản Hiệu đến địa phận xã Chiềng Đông</t>
  </si>
  <si>
    <t>Quốc lộ 279: Đoạn từ cầu treo bản Hiệu đến bản Chiềng An (đi về phía huyện Tuần Giáo)</t>
  </si>
  <si>
    <t>Các bản: Bản Dửn, bản Hiệu 1, bản Hiệu 2, Pa Sát, bản Xôm</t>
  </si>
  <si>
    <t>Các bản vùng còn lại</t>
  </si>
  <si>
    <t>Xã Chiềng Đông</t>
  </si>
  <si>
    <t xml:space="preserve">Quốc lộ 279: Đoạn đường từ cầu bản Bó qua UBND xã đi về phía xã Chiềng Sinh 350 m (lấy trọn thửa đất) </t>
  </si>
  <si>
    <t>Các bản: Hua Nạ, Hua Chăn</t>
  </si>
  <si>
    <t>Xã Nà Sáy</t>
  </si>
  <si>
    <t>Từ nhà bà Dương đến hết nhà ông Ửng Cương (đường đi Mường Thín); Đoạn từ sau nhà ông Diên đến hết nhà ông Ơn Minh (đường Nà Sáy - bản Khong)</t>
  </si>
  <si>
    <t xml:space="preserve">Bản Nậm Cá </t>
  </si>
  <si>
    <t>Xã Mường Khong</t>
  </si>
  <si>
    <t>Các bản: Hua Sát, Huổi Nôm</t>
  </si>
  <si>
    <t>Xã Rạng Đông</t>
  </si>
  <si>
    <t xml:space="preserve">Từ đất nhà ông Lại Cao Mạ đối diện là nhà ông Phạm Cao Lương đến UBND xã </t>
  </si>
  <si>
    <t>Các bản: Xá Nhè, Hang Á</t>
  </si>
  <si>
    <t>Xã Mường Thín</t>
  </si>
  <si>
    <t>Đoạn từ nhà ông Lò Văn Khoán bản Thín A đến nhà ông Lường Văn Hải bản Khai Hoang.</t>
  </si>
  <si>
    <t>Bản Thẳm Xả</t>
  </si>
  <si>
    <t>XIV</t>
  </si>
  <si>
    <t>Xã Tỏa Tình</t>
  </si>
  <si>
    <t>Đoạn đường từ ngã ba đường cũ, đường mới đến hết địa phận Tuần Giáo hướng đi về phía Hà Nội</t>
  </si>
  <si>
    <t>Các bản: Háng Tàu, Tỏa Tình</t>
  </si>
  <si>
    <t>XV</t>
  </si>
  <si>
    <t>4 xã còn lại: Pú Xi, Tênh Phông, Ta Ma, Phình Sáng</t>
  </si>
  <si>
    <t>Các bản còn lại.</t>
  </si>
  <si>
    <t>XVI</t>
  </si>
  <si>
    <t>Các bản ven trục đường Quốc lộ, Tỉnh lộ xa trung tâm xã trên địa bàn huyện</t>
  </si>
  <si>
    <t>Trục đường 39m</t>
  </si>
  <si>
    <t>Trục đường 36m</t>
  </si>
  <si>
    <t>Trục đường 32m: Đoạn tiếp giáp từ Quốc lộ 4H đến ngã 4 UBND huyện Mường Nhé</t>
  </si>
  <si>
    <t>Trục đường 32m: Đoạn từ ngã 4 UBND huyện Mường Nhé đến giáp Quốc lộ 4H (Viện kiểm sát huyện Mường Nhé)</t>
  </si>
  <si>
    <t>Trục đường 32m: Đoạn từ ngã 4 UBND huyện Mường Nhé đến cầu Nà Pán</t>
  </si>
  <si>
    <t>Trục đường 18m: Đoạn từ ngã 4 giao với trục 32m (Trung tâm Hội nghị huyện Mường Nhé) đến ngã 4 hết đất nhà ông Cao Như Thành</t>
  </si>
  <si>
    <t>Các trục đường 18m còn lại</t>
  </si>
  <si>
    <t>Trục đường 15m: Đoạn từ ngã 3 sân bóng đến hết nhà văn hóa tổ 2</t>
  </si>
  <si>
    <t>Trục đường 15m: Đoạn từ ngã 3 sân vận động đến hết nhà văn hóa tổ 2</t>
  </si>
  <si>
    <t>Trục đường 15m: Đoạn từ ngã 3 đường 18m đến ngã 3 giao với trục đường 15m (Tượng đài - UBND xã Mường Nhé)</t>
  </si>
  <si>
    <t>Các trục đường 15m còn lại</t>
  </si>
  <si>
    <t xml:space="preserve">Trục đường 13m </t>
  </si>
  <si>
    <t>Trục đường 10,5m (Đường bê tông)</t>
  </si>
  <si>
    <t>Đường Quốc lộ 4H: Đoạn từ ranh giới xã Mường Toong với xã Mường Nhé đến ranh giới bản Huổi Ban</t>
  </si>
  <si>
    <t>Đường Quốc lộ 4H: Đoạn từ ranh giới xã Mường Toong với xã Mường Nhé đến cầu bê tông bản Co Lót (giáp đường vào bản Huổi Ban)</t>
  </si>
  <si>
    <t>Đường Quốc lộ 4H: Đoạn từ bản Huổi Ban đến khe suối giáp nhà Ông Giàng A Páo (thửa 39 tờ bản đồ 172)</t>
  </si>
  <si>
    <t>Đường Quốc lộ 4H: Đoạn từ cầu bê tông bản Co Lót (giáp đường vào bản Huổi Ban) đến khe suối giáp nhà Ông Giàng A Páo (thửa 39, tờ bản đồ 172)</t>
  </si>
  <si>
    <t>Đường Quốc lộ 4H: Đoạn từ thửa 39 tờ bản đồ 172 (Nhà ông Giàng A Páo) đến cầu Nậm Pố</t>
  </si>
  <si>
    <t>Đường Quốc lộ 4H: Đoạn từ cầu Nậm Pố đến Cầu bê tông (hết thửa 110 tờ bản đồ 130)</t>
  </si>
  <si>
    <t xml:space="preserve">Đường Quốc lộ 4H: Đoạn từ cầu bê tông (nhà ông Phạm Văn Thư thửa 112 tờ bản đồ 130) đến đầu đường 32m </t>
  </si>
  <si>
    <t>Đường Quốc lộ 4H: Đoạn tiếp từ đường 32m (Viện kiểm sát huyện Mường Nhé) đến khu vườn ươm bảo tồn thiên nhiên Mường Nhé</t>
  </si>
  <si>
    <t>Đường Quốc lộ 4H: Đoạn tiếp từ đường 32m (Bảo hiểm huyện Mường Nhé) đến thửa đất bà Mùa Thị Mỵ (Thửa 31, tờ bản đồ 98)</t>
  </si>
  <si>
    <t>Đường Quốc lộ 4H: Đoạn từ vườn ươm bảo tồn thiên nhiên Mường Nhé đến giáp đất nhà bà Trần Thị Vinh (Thửa 37 tờ bản đồ 86)</t>
  </si>
  <si>
    <t>Đường Quốc lộ 4H: Đoạn từ thửa đất bà Mùa Thị Mỵ (Thửa 31, tờ bản đồ 98) đến giáp đất nhà bà Trần Thị Vinh (Thửa 37, tờ bản đồ 86)</t>
  </si>
  <si>
    <t>Đường QL 4H: Đoạn từ nhà bà Trần Thị Vinh (Thửa 37 tờ bản đồ 86) đến ranh giới xã Chung Chải</t>
  </si>
  <si>
    <t>Đường liên bản: Đoạn từ ngã tư Viện kiểm sát đến thửa 205 tờ bản đồ 105 (bản Nà Pán) đường đi đồn biên phòng Mường Nhé</t>
  </si>
  <si>
    <t>Đường liên bản: Đoạn từ cầu Nà Pán đến thửa 205 tờ bản đồ 105 (bản Nà Pán) đường đi đồn Biên phòng Mường Nhé</t>
  </si>
  <si>
    <t xml:space="preserve"> Các đoạn đường còn lại bản Nà Pán</t>
  </si>
  <si>
    <t>Các bản gần trung tâm huyện: Bản Mường Nhé, Bản Mường Nhé Mới</t>
  </si>
  <si>
    <t>Các đường liên thôn bản còn lại</t>
  </si>
  <si>
    <t>Đường Quốc lộ 4H: Đoạn từ ranh giới giáp xã Pa Tần đến hết ranh giới bản Quảng Lâm, bản Trạm Búng</t>
  </si>
  <si>
    <t>Đường Quốc lộ 4H: Đoạn từ ranh giới giáp xã Pa Tần đến hết ranh giới bản Quảng Lâm, bản Trạm Púng</t>
  </si>
  <si>
    <t>Đường Quốc lộ 4H: Đoạn từ ranh giới bản Trạm Búng đến cây xăng Phú Vui</t>
  </si>
  <si>
    <t>Đường Quốc lộ 4H: Đoạn từ ranh giới bản Trạm Púng đến cây xăng Phú Vui</t>
  </si>
  <si>
    <t>Đường Quốc lộ 4H: Đoạn từ cây xăng Phú Vui đến hết ranh giới xã Quảng Lâm</t>
  </si>
  <si>
    <t>Đường liên xã: Đoạn từ ngã 3 UBND xã Quảng Lâm đến hết ranh giới bản Đền Thàng</t>
  </si>
  <si>
    <t>Đường liên xã: Đoạn từ ngã 3 UBND xã Quảng Lâm đến hết ranh giới bản Dền Thàng</t>
  </si>
  <si>
    <t>Đường liên xã: Đoạn từ ranh giới bản Đền Thàng đến hết ranh giới xã Quảng Lâm</t>
  </si>
  <si>
    <t>Đường liên xã: Đoạn từ ranh giới bản Dền Thàng đến hết ranh giới xã Quảng Lâm</t>
  </si>
  <si>
    <t>Đường Quốc lộ 4H: Đoạn từ ranh giới giáp xã Quảng Lâm đến Đội cao su Nậm Kè</t>
  </si>
  <si>
    <t>Đường Quốc lộ 4H: Đoạn từ Đội cao su Nậm Kè đến Khe suối bản Phiêng Vai</t>
  </si>
  <si>
    <t>Đường Quốc lộ 4H:  Đoạn từ khe suối bản Phiêng Vai đến cầu Nậm Nhé</t>
  </si>
  <si>
    <t>Đường Quốc lộ 4H: - Đoạn từ cầu Nậm Nhé đến ranh giới giáp xã Mường Toong (Cầu Nậm Nhé 2)</t>
  </si>
  <si>
    <t>Đường Quốc lộ 4H: - Đoạn từ cầu Nậm Kè đến ranh giới giáp xã Mường Toong (Cầu Nậm Nhé 2)</t>
  </si>
  <si>
    <t>Các đường nội, liên thôn bản còn lại</t>
  </si>
  <si>
    <t>Đường Quốc lộ 4H: Đoạn ranh giới giáp xã Nậm Kè (Cầu Nậm Nhé 2) đến nhà ông Nguyễn Văn Dũng (Thửa 79 tờ bản đồ 159)</t>
  </si>
  <si>
    <t>Đường Quốc lộ 4H: Đoạn ranh giới giáp xã Nậm Kè (Cầu Nậm Nhé 3) đến nhà ông Nguyễn Văn Dũng (Thửa 79 tờ bản đồ 159)</t>
  </si>
  <si>
    <t>Đường Quốc lộ 4H: Đoạn từ nhà ông Nguyễn Văn Dũng (Thửa 79 tờ bản đồ 159) đến cầu Mường Toong (Khu trung tâm xã)</t>
  </si>
  <si>
    <t>Đường QL 4H: Đoạn từ Cầu Mường Toong đến ranh giới giáp xã Mường Nhé</t>
  </si>
  <si>
    <t>Đường ngã ba Mường Toong đi trung tâm xã Nậm Vì</t>
  </si>
  <si>
    <t>Đường liên xã Mường Toong vào xã Huổi Lếch</t>
  </si>
  <si>
    <t xml:space="preserve">Đường vào xã Pá Mỳ: Từ QL 4H đến ranh giới xã Mường Toong - xã Nậm Kè </t>
  </si>
  <si>
    <t>Các đường nội liên thôn bản còn lại</t>
  </si>
  <si>
    <t>Trung tâm xã : Bản Pá Mỳ 1</t>
  </si>
  <si>
    <t>Các bản Pá Mỳ 2, Pá Mỳ 3, Huổi Lụ 2, Huổi Pết, Huổi Mý 1</t>
  </si>
  <si>
    <t>Các bản Pá Mỳ 2, Pá Mỳ 3, Huổi Lụ 2, Huổi Pết, Huổi Lích 1, Huổi Lích 2</t>
  </si>
  <si>
    <t>Các bản Tàng Phong, Huổi Lụ 1, Huổi Lụ 3, Huổi Mý 2</t>
  </si>
  <si>
    <t>Các bản Tàng Phon, Huổi Lụ 1, Huổi Lụ 3</t>
  </si>
  <si>
    <t>Trung tâm xã : Bản Huổi Lếch</t>
  </si>
  <si>
    <t>Các bản Nậm Pán 2, Cây Sặt, Nậm Mỳ 1, Nậm Mỳ 2</t>
  </si>
  <si>
    <t>Các bản Nậm Pan 2, Cây Sặt, Nậm Mỳ 1, Nậm Mỳ 2</t>
  </si>
  <si>
    <t>Các bản Nậm Hính 1, Nậm Hính 2</t>
  </si>
  <si>
    <t>Bản Pa Tết</t>
  </si>
  <si>
    <t>Trung tâm xã : Bản Nậm Vì</t>
  </si>
  <si>
    <t>Các bản Vang Hồ, Huổi Lúm, Huổi Chạ 1, Huổi Chạ 2</t>
  </si>
  <si>
    <t>Các bản Huổi Cấu, Cây Sổ</t>
  </si>
  <si>
    <t>Quốc lộ 4H: Đoạn từ ranh giới giáp xã Mường Nhé đến đầu bản Đoàn Kết</t>
  </si>
  <si>
    <t>Quốc lộ 4H: Đoạn từ đầu bản Đoàn Kết đến hết ranh giới Bản Đoàn Kết giáp với bản Cây Muỗm (Trung tâm xã)</t>
  </si>
  <si>
    <t>Quốc lộ 4H: Đoạn từ đầu bản Cây Muỗm đến hết ranh giới xã Chung Chải</t>
  </si>
  <si>
    <t>Quốc lộ 4H2: Đoạn từ cầu Đoàn Kết đến hết ranh giới xã Chung Chải</t>
  </si>
  <si>
    <t>Quốc lộ 4H2: Đoạn từ ranh giới giáp xã Chung Chải đến cầu Suối Voi</t>
  </si>
  <si>
    <t>Quốc lộ 4H2: Đoạn từ cầu Suối Voi đến hết ranh giới bản Suối Voi (Trung tâm xã)</t>
  </si>
  <si>
    <t xml:space="preserve">Quốc lộ 4H2: Đoạn từ đầu ranh giới bản Leng Su Sìn đến hết ranh giới xã </t>
  </si>
  <si>
    <t>Trung tâm xã : Bản Sen Thượng</t>
  </si>
  <si>
    <t>100</t>
  </si>
  <si>
    <t>Các bản Long San, Tá Khoa Pá, Pa Ma, Chiếu Sừng, Tà Ló San</t>
  </si>
  <si>
    <t>Bản Lò San Chái</t>
  </si>
  <si>
    <t>Quốc lộ 4H2: Đoạn từ ranh giới giáp xã Leng Su Sìn đến trạm quản lý đường bộ 1 (Cung 24 quốc lộ 4H2)</t>
  </si>
  <si>
    <t>Quốc lộ 4H2: Trạm quản lý đường bộ 1 (Cung 24 quốc lộ 4H2) đến nhà Ông Pờ Dần Sinh</t>
  </si>
  <si>
    <t>Quốc lộ 4H2: Đoạn từ giáp đất ông Pờ Dần Sinh đến hết bản Tá Miếu (Cầu bê tông)</t>
  </si>
  <si>
    <t xml:space="preserve">Quốc lộ 4H2: Đoạn từ cầu bê tông (bản Tả Miếu) đến trạm kiểm soát biên phòng A Pa Chải </t>
  </si>
  <si>
    <t>Khu quy hoạch trung tâm huyện</t>
  </si>
  <si>
    <t>Đường tỉnh lộ 145 từ giáp ranh giới xã Nà Hỳ với xã Nậm Chua đến hết ranh giới bản Huổi Đáp</t>
  </si>
  <si>
    <t>Đường tỉnh lộ 145 từ ranh giới bản Huổi Đáp đến giáp ranh giới xã Nà Khoa với xã Nậm Chua</t>
  </si>
  <si>
    <t>Đường QH 32m (trải nhựa 16m)</t>
  </si>
  <si>
    <t>Đường Bê tông 16,5m</t>
  </si>
  <si>
    <t>Đường Bê tông 13,5m</t>
  </si>
  <si>
    <t>Đường Bê tông 12m</t>
  </si>
  <si>
    <t xml:space="preserve">Đường Bê tông 10m </t>
  </si>
  <si>
    <t>Khu TDC số 01 và 02: Đường đất 7,6m</t>
  </si>
  <si>
    <t>Các đường nội trung tâm huyện còn lại</t>
  </si>
  <si>
    <t>Xã Nà Hỳ</t>
  </si>
  <si>
    <t>Đường tỉnh lộ 145B đoạn từ ranh giới xã Chà Nưa đến Km 28 (Ngã ba rẽ vào thao trường diễn tập)</t>
  </si>
  <si>
    <t>Đường tỉnh lộ 145B đoạn từ Km 28 (Ngã ba rẽ vào thao trường diễn tập) đến cầu Huổi Bon</t>
  </si>
  <si>
    <t>Đường tỉnh lộ 145 đoạn từ giáp ranh giới xã Nậm Chua với xã Nà Hỳ đến cầu Huổi Bon</t>
  </si>
  <si>
    <t>Đường tỉnh lộ 145 đoạn từ cổng nông trường 1 cũ (nay là đội sản xuất số 8-Đoàn KT-QP 379) đến cầu Huổi Hoi</t>
  </si>
  <si>
    <t>Đường tỉnh lộ 145 từ cầu Huổi Bon đến cổng nông trường 1 cũ (nay là đội sản xuất số 8-Đoàn KT-QP 379)</t>
  </si>
  <si>
    <t>Đường tỉnh lộ 145 đoạn từ cầu Huổi Hoi đến ranh giới xã Nà Hỳ với xã Vàng Đán</t>
  </si>
  <si>
    <t xml:space="preserve">Đường bê tông nội bản Nà Hỳ 1,2,3 </t>
  </si>
  <si>
    <t>Đường nội, liên thôn bản còn lại</t>
  </si>
  <si>
    <t>Xã Vàng Đán</t>
  </si>
  <si>
    <t>Đường tỉnh lộ 145 đoạn từ ranh giới xã Nà Hỳ đến ranh giới hộ ông Thào A Chỉnh</t>
  </si>
  <si>
    <t>Đường tỉnh lộ 145 đoạn từ hộ ông Thào A Chỉnh đến ngã ba đường mòn Nộc Cốc 2</t>
  </si>
  <si>
    <t>Đường tỉnh lộ 145 đoạn từ ngã ba đường mòn Nộc Cốc đến ranh giới giáp xã Nà Bủng</t>
  </si>
  <si>
    <t>Đường liên bản từ hộ ông Vàng Văn Lịch đến hết đất ông Giàng Pàng Nù</t>
  </si>
  <si>
    <t>Các đường nội, liên thôn, bản</t>
  </si>
  <si>
    <t>Xã Nà Bủng</t>
  </si>
  <si>
    <t>Đường tỉnh lộ 145 từ ranh giới xã Vàng Đán đến trường mầm non Nà Bủng</t>
  </si>
  <si>
    <t>Đường tỉnh lộ 145 từ ranh giới trường mầm non Nà Bủng đến ngã 3 rẽ vào UBND xã Nà Bủng</t>
  </si>
  <si>
    <t>Đường tỉnh lộ 145 đoạn từ ngã 3 rẽ vào UBND xã Nà Bủng đến hộ ông Đỗ Danh Nhân</t>
  </si>
  <si>
    <t>Đường tỉnh lộ 145 đoạn từ ranh giới hộ ông Đỗ Danh Nhân đến đồn biên phòng Nà Bủng</t>
  </si>
  <si>
    <t>Đường tỉnh lộ 145 từ đồn biên phòng Nà Bủng đến cột mốc số 49</t>
  </si>
  <si>
    <t>Xã Nậm Chua</t>
  </si>
  <si>
    <t>Đoạn từ cầu Huổi Lái xã Nậm Chua - Nà Hỳ</t>
  </si>
  <si>
    <t xml:space="preserve">Đoạn từ ngã 3 Nậm Chua - Phiêng Ngúa </t>
  </si>
  <si>
    <t>Đoạn từ cầu Huổi Lái xã Nậm Chua - Nậm Nhừ</t>
  </si>
  <si>
    <t>Xã Nậm Tin</t>
  </si>
  <si>
    <t>Từ cầu Huổi Đắp theo đường tỉnh lộ 145 đến bản Tàng Do giáp trường THCS Tàng Do</t>
  </si>
  <si>
    <t>Đường tỉnh lộ 145 từ cầu treo Vàng Lếch đến cầu Huổi Đắp</t>
  </si>
  <si>
    <t>Đoạn từ ngã ba chợ Vàng Lếch đến hết UBND xã Nậm Tin</t>
  </si>
  <si>
    <t xml:space="preserve">Từ trường THCS Tàng Do theo đường tỉnh lộ 145 đến giáp ranh xã Nà Khoa; từ cầu Vàng Lếch đến giáp ranh xã Chà Cang; </t>
  </si>
  <si>
    <t>Các trục đường nội, liên thôn, bản;</t>
  </si>
  <si>
    <t>Xã Nậm Nhừ</t>
  </si>
  <si>
    <t>Đường liên xã đoạn từ ranh giới xã Nà Khoa đến hết ranh giới bản Nậm Nhừ 1</t>
  </si>
  <si>
    <t>Đường liên xã từ ranh giới bản Nậm Nhừ 1 đến hết ranh giới xã Nậm Nhừ</t>
  </si>
  <si>
    <t>Đoạn từ ngã ba đối diện hộ ông Cư A Áo đến đồn biên phòng Nậm Nhừ</t>
  </si>
  <si>
    <t>Xã Nà Khoa</t>
  </si>
  <si>
    <t>Đường tỉnh lộ 145 từ ranh giới xã Nà Khoa với xã Nậm Tin đến ranh giới xã Nà Khoa với xã Nậm Chua</t>
  </si>
  <si>
    <t>Đường liên xã đoạn từ ngã ba Nà Khoa đến cầu ngầm Nà Khoa</t>
  </si>
  <si>
    <t>Đường liên xã đoạn từ cầu ngầm Nà Khoa đến hộ ông Lường Văn Ven</t>
  </si>
  <si>
    <t>Đường liên xã đoạn từ giáp ranh giới hộ ông Lường Văn Ven đến ranh giới xã Nà Khoa với xã Nậm Nhừ</t>
  </si>
  <si>
    <t>Đường liên xã đoạn từ cầu ngầm Nà Khoa đến hộ ông Ma Văn Phương</t>
  </si>
  <si>
    <t>Đường liên xã đoạn từ ranh giới hộ ông Ma Văn Phương đến ranh giới xã Nà Khoa với xã Na Cô Sa</t>
  </si>
  <si>
    <t>Các trục đường nội, liên thôn bản</t>
  </si>
  <si>
    <t>Xã Na Cô Sa</t>
  </si>
  <si>
    <t>Đường liên xã đoạn từ ranh giới xã Nà Khoa đến điểm trường tiểu học Huổi Thủng 2</t>
  </si>
  <si>
    <t>Đường liên xã từ cầu 18m trung tâm xã đến hộ ông Tòng Văn Bóng (trường THCS)</t>
  </si>
  <si>
    <t>Đường liên xã từ hộ ông Lò Văn Sơn đến ranh giới xã Quảng Lâm</t>
  </si>
  <si>
    <t>Đường liên xã từ điểm trường tiểu học Huôi Thủng 2 đến nhà ông Lò Văn Sơn (khu trung tâm xã)</t>
  </si>
  <si>
    <t>Đường liên xã từ giáp nhà ông Tòng Văn Bóng đến trạm biên phòng Na Cô Sa 2</t>
  </si>
  <si>
    <t>Xã Si Pa Phìn</t>
  </si>
  <si>
    <t>Đường Quốc lộ 4H đoạn từ ranh giới xã Ma Thì Hồ đến cây xăng xã Si Pa Phìn</t>
  </si>
  <si>
    <t>Đường Quốc lộ 4H đoạn từ cây xăng xã Si Pa Phìn đến đài truyền thanh, truyền hình xã</t>
  </si>
  <si>
    <t>Đường Quốc lộ 4H đoạn từ đài truyền thanh, truyền hình xã đến ranh giới xã Phìn Hồ</t>
  </si>
  <si>
    <t>Đường Quốc lộ 4H(1) đoạn từ ngã ba Đội thuế đến cầu trắng Chế Nhù (Ông Đớ)</t>
  </si>
  <si>
    <t>Đường Quốc lộ 4H(1) đoạn từ cầu trắng Chế Nhù (Ông Đớ) đến cửa khẩu Si Pa Phìn</t>
  </si>
  <si>
    <t xml:space="preserve">Đường liên bản đoạn từ ngã 3 trường THCS Tân Phong đến hết trường THCS Tân Phong </t>
  </si>
  <si>
    <t>Đường nội, liên thôn bản</t>
  </si>
  <si>
    <t>Xã Phìn Hồ</t>
  </si>
  <si>
    <t>Đường Quốc lộ 4H từ ranh giới giáp xã Si Pa Phìn đến giáp đất hộ Liêu - Vềnh</t>
  </si>
  <si>
    <t>Đường Quốc lộ 4H từ đất hộ ông Liêu - Vềnh đến đất hộ bà Hồng</t>
  </si>
  <si>
    <t>Đường Quốc lộ 4H từ giáp đất hộ bà Hồng đến giáp đất hộ ông Măng</t>
  </si>
  <si>
    <t>Đường Quốc lộ 4H từ đất hộ ông Măng đến đất hộ Huệ Nhàn</t>
  </si>
  <si>
    <t>Đường Quốc lộ 4H từ giáp đất hộ Huệ Nhàn đến ranh giới xã Chà Nưa</t>
  </si>
  <si>
    <t>Đường tỉnh lộ 145B đoạn từ ngã ba Km 45 hướng đi trung tâm huyện Nậm Pồ đến ranh giới xã Phìn Hồ với xã Nà Hỳ</t>
  </si>
  <si>
    <t>Đoạn từ ngã ba rẽ lên trung tâm xã Phìn Hồ đến ngã ba rẽ đi bản Phìn Hồ</t>
  </si>
  <si>
    <t>Xã Chà Nưa</t>
  </si>
  <si>
    <t>Đường Quốc lộ 4H đoạn từ khe Huổi Phủm giáp ranh tới xã Phìn Hồ đến khe Huổi Co Phát giáp với bản Nà Sự 1</t>
  </si>
  <si>
    <t>Đường Quốc lộ 4H đoạn từ khe Huổi Phum Nhủng giáp ranh tới xã Phìn Hồ đến khe Huổi Co Phát giáp với bản Nà Sự 1</t>
  </si>
  <si>
    <t>Đường Quốc lộ 4H đoạn từ khe Huổi Co Phát bản Nà Sự 1 đến hết ranh giới bản Cấu xã Chà Nưa với xã Chà Cang</t>
  </si>
  <si>
    <t>Đường hướng đi trung tâm huyện từ ranh giới xã Phìn Hồ đến ranh giới xã Nà Hỳ</t>
  </si>
  <si>
    <t>Xã Chà Cang</t>
  </si>
  <si>
    <t>Đường Quốc lộ 4H từ ranh giới xã Chà Cang xã Chà Nưa đến giáp đất hộ ông Vệ Thìn</t>
  </si>
  <si>
    <t xml:space="preserve">Đường Quốc lộ 4H từ hộ ông Vệ Thìn đến hộ ông Mạnh - Yến </t>
  </si>
  <si>
    <t>Đường Quốc lộ 4H từ giáp đất hộ ông Mạnh - Yến đến cầu Huổi Sứng</t>
  </si>
  <si>
    <t>Đường Quốc lộ 4H từ cầu Huổi Sứng đến hết ranh giới xã Chà Cang</t>
  </si>
  <si>
    <t>Đường tỉnh lộ 150 từ ngã ba chợ Chà Cang đến cầu Chà Cang</t>
  </si>
  <si>
    <t>Đường tỉnh lộ 150 từ cầu Chà Cang đến hộ ông Lê Văn Thiết</t>
  </si>
  <si>
    <t>Đường tỉnh lộ 150 từ giáp đất hộ ông Lê Văn Thiết đến ranh giới xã Chà Cang với xã Chà Tở</t>
  </si>
  <si>
    <t>Đường tỉnh lộ 145 từ cầu Nậm Pồ đến ranh giới xã Chà Cang với xã Nậm Tin</t>
  </si>
  <si>
    <t>Đoạn từ trạm điện lực đến nhà văn hóa bản Mới</t>
  </si>
  <si>
    <t>Các đường liên, nội thôn bản</t>
  </si>
  <si>
    <t>Xã Pa Tần</t>
  </si>
  <si>
    <t>Đường Quốc lộ 4H đoạn từ ranh giới xã Chà Cang đến ngã ba Huổi Sâu</t>
  </si>
  <si>
    <t>Đường Quốc lộ 4H đoạn từ ngã ba Huổi Sâu đến khe Huổi Ngoong</t>
  </si>
  <si>
    <t>Đường Quốc lộ 4H đoạn từ khe Huổi Ngoong đến ranh giới xã Quảng Lâm</t>
  </si>
  <si>
    <t>Xã Chà Tở</t>
  </si>
  <si>
    <t>Đường tỉnh lộ 150 đoạn từ ranh giới xã Chà Cang với xã Chà Tở đến hết ranh giới bản Nà Én với bản Nà Pẩu</t>
  </si>
  <si>
    <t>Đường tỉnh lộ 150 đoạn từ ranh giới bản Nàn Pẩu đến hết ranh giới bản Nà Mười ( TT xã)</t>
  </si>
  <si>
    <t>Đường tỉnh lộ 150 đoạn từ ranh giới bản Nà Mười đến ranh giới xã Chà Tở với xã Mường Tùng</t>
  </si>
  <si>
    <t>Xã Nậm Khăn</t>
  </si>
  <si>
    <t>Đường liên xã đoạn từ ranh giới xã Nậm Khăn với xã Chà Tở đến giáp đất hộ ông Lành Văn Thiết</t>
  </si>
  <si>
    <t xml:space="preserve">Đường liên xã đoạn từ hộ ông Lành Văn Thiết đến giáp đất ông Poòng Văn Kính </t>
  </si>
  <si>
    <t xml:space="preserve">Đường liên xã đoạn từ hộ ông Lèng Văn Thiết đến giáp đất ông Poòng Văn Kính </t>
  </si>
  <si>
    <t xml:space="preserve">Đường liên xã đoạn từ ông Poòng Văn Kính đến cầu Nậm Khăn </t>
  </si>
  <si>
    <t>2.9. HUYỆN TỦA CHÙA</t>
  </si>
  <si>
    <t>VT 1</t>
  </si>
  <si>
    <t>VT2</t>
  </si>
  <si>
    <t>VT3</t>
  </si>
  <si>
    <t>Xã Mường Báng</t>
  </si>
  <si>
    <t>Theo Quyết định số 53/2019/QĐ-UBND ngày 31 tháng 12 năm 2019 của UBND tỉnh Điện Biên Và Quyết định số 30/2021/QĐ-UBND ngày 20 tháng 12 năm 2021 của UBND tỉnh Điện Biên</t>
  </si>
  <si>
    <t>Đoạn 1: Từ hết đất nhà bà Thảo giáp đường vào cung giao thông cũ (phần đất thuộc địa phận xã Mường Báng) thửa 9 tờ bản đồ 137 đến đất của điểm trường đội 10 thửa 194 tờ bản đồ 137; bao gồm cả phía đối diện từ hết đất nhà ông Hùng thửa 176 tờ bản đồ 137 đến hết đất nhà ông Nghiên thửa 175 tờ bản đồ 137</t>
  </si>
  <si>
    <t>Đoạn 2: Từ hết đất tường bao điểm trường đội 10 - thửa 4 tờ BĐ 146 đến đỉnh dốc trám- biển chè Tuyết Shan cổ thụ Tủa Chùa (bao gồm cả phía đối diện).</t>
  </si>
  <si>
    <t>Các thôn bản vùng thấp xã Mường Báng</t>
  </si>
  <si>
    <t>Các thôn bản vùng cao xã Mường Báng</t>
  </si>
  <si>
    <t>Xã Xá Nhè</t>
  </si>
  <si>
    <t>Khu vực trung tâm xã: Từ ngã ba đường trung tâm xã  hướng đường đi Tả Huổi Tráng và hướng đi xã Mường Đun (bán kính 400m tính từ ngã ba đường); Từ ngã ba đường trung tâm xã hướng đường đi ra Tỉnh lộ 140 đến đường vào hang động xã Xá Nhè</t>
  </si>
  <si>
    <t>Các thôn, bản còn lại</t>
  </si>
  <si>
    <t>Xã Tả Sìn Thàng</t>
  </si>
  <si>
    <t>Khu vực trung tâm xã: Từ cây Xăng Tả Sìn Thàng đến nhà ông Hoàng Quỷ Nam (bán kính 1000m so với trung tâm xã), từ nhà máy chè đi qua trường cấp II +III đến nhà ông Nguyễn Quang Túc (bán kính 500m )</t>
  </si>
  <si>
    <t>Xã Mường Đun</t>
  </si>
  <si>
    <t xml:space="preserve">Khu vực trung tâm xã: Từ ngã ba Bản Đun (trước nhà ông Ém) đi xã Tủa Thàng (bán kính 500m); Từ ngã ba bản Đun (trước nhà ông Ém) đi Bản Hột (qua UBND xã cũ) (bánh kính 650m); Từ ngã ba bản Đun (trước nhà ông Ém) đường đi ra xã Xá Nhè (bán kính 700m) </t>
  </si>
  <si>
    <t>Xã Sính Phình</t>
  </si>
  <si>
    <t>Khu vực trung tâm xã (bán kính 200 m so với trụ sở xã)</t>
  </si>
  <si>
    <t>Xã Tủa Thàng</t>
  </si>
  <si>
    <t>Khu vực trung tâm xã (bán kính 450 m so với trụ sở xã)</t>
  </si>
  <si>
    <t>Từ Ngã ba Thôn Tả Huổi Tráng 2 (trước nhà Ông Điêu Chính Thạn) bán kính 650m tính từ ngã ba: Đường rẽ đi UBND xã Tủa Thàng, đường rẽ đi xã Huổi Só, đường rẽ đi xã Xá Nhè</t>
  </si>
  <si>
    <t>Xã Tả Phìn</t>
  </si>
  <si>
    <t xml:space="preserve">Khu vực trung tâm xã: Ngã tư xã Tả Phìn (trước nhà ông Sùng A Chu) bán kính 600m tính từ ngã tư: Đường đi lên xã Huổi Só, đường đi lên Tả Sìn Thàng, đường đi Sính Phình, đường đi Tào Cu Nhe. </t>
  </si>
  <si>
    <t>Xã Sín Chải</t>
  </si>
  <si>
    <t>Xã Lao Xả Phình</t>
  </si>
  <si>
    <t>Khu vực trung tâm xã (bán kính 150 m so với trụ sở xã)</t>
  </si>
  <si>
    <t>Xã Huổi Só</t>
  </si>
  <si>
    <t>Xã Trung Thu</t>
  </si>
  <si>
    <t>Đơn vị tính: 1.000 đồng/m²</t>
  </si>
  <si>
    <t>vị trí 
còn lại</t>
  </si>
  <si>
    <t>Trục đường Tỉnh lộ 142.</t>
  </si>
  <si>
    <t>Đoạn từ giáp thửa số 56 tờ bản đồ số 7 (Từ nút giao với đường NC12) đến đầu cầu Tạo Sen.</t>
  </si>
  <si>
    <t>Đoạn từ đầu cầu Tạo Sen hết địa phận thị xã Mường Lay.</t>
  </si>
  <si>
    <t>Đường tỉnh lộ 142 đoạn từ đầu cầu Nam Nậm Cản đến hết đất thửa số 56 tờ bản đồ số 7 (nút giao với đường NC12 hết bản Na Ka)</t>
  </si>
  <si>
    <t>Trục đường Quốc lộ 12.</t>
  </si>
  <si>
    <t>Đoạn từ điểm giao địa phận phường Na Lay đến nam Cầu Huổi Hái.</t>
  </si>
  <si>
    <t>Đoạn từ nam cầu Huổi Hái đến nam Huổi Phán</t>
  </si>
  <si>
    <t>Đoạn từ nam cầu Huổi Phán đến hết địa phận thị xã Mường Lay</t>
  </si>
  <si>
    <t>Đường giao thông nội bộ khu TĐC Bản Bắc 1, Bắc 2, Bản Ổ, Bản Na Ka.</t>
  </si>
  <si>
    <t>Đường N19A: Đoạn từ nút giao với đường N13A đến ngã ba giao nhau với đường CK1 và đường N13A ;</t>
  </si>
  <si>
    <t>Đường N13A: Đoạn từ nút giao với đường Quốc lộ 12 đến ngã ba giao nhau với đường CK1 và đường N19A.</t>
  </si>
  <si>
    <t>Đường N8A: Đoạn từ nút giao đường N13A về phía bắc đến nút giao với đường N13A (cạnh khe huổi Bắc).</t>
  </si>
  <si>
    <t>Đường N8B: Đoạn từ nút giao đường N13A về phía bắc đến nút giao với đường N13A (cạnh khe huổi Bắc).</t>
  </si>
  <si>
    <t>Đường NC14: Đoạn từ nút giao với Tỉnh Lộ 142 đến nút giao với đường NC12.</t>
  </si>
  <si>
    <t>Đường NC12: Đoạn từ giao nhau với đường NC14 chạy ven hồ đến nút giao với đường Tỉnh Lộ 142.</t>
  </si>
  <si>
    <t>Các bản vùng cao</t>
  </si>
  <si>
    <t>Bản Hô Huổi Luông</t>
  </si>
  <si>
    <t>Bản Hô Nậm Cản</t>
  </si>
  <si>
    <t>Bản Huổi Luân</t>
  </si>
  <si>
    <t>Các đường nội bản vùng thấp</t>
  </si>
  <si>
    <t>- Đường nhựa</t>
  </si>
  <si>
    <t>- Các trục đường bê tông nội bản</t>
  </si>
  <si>
    <t>Quyết định 53, PP trung bình giá Thu thập hợp đồng (3)</t>
  </si>
  <si>
    <t xml:space="preserve">- Các trục đường đất nội bản </t>
  </si>
  <si>
    <t>2,10, THỊ XÃ MƯỜNG LAY</t>
  </si>
  <si>
    <t>Xã Thanh Minh</t>
  </si>
  <si>
    <t>Trung tâm xã Thanh Minh</t>
  </si>
  <si>
    <t>Các đường bê tông thuộc tổ 1, 2</t>
  </si>
  <si>
    <t>Các đường đất còn lại thuộc tổ 1, 2</t>
  </si>
  <si>
    <t>Đường Võ Nguyên Giáp</t>
  </si>
  <si>
    <t xml:space="preserve"> - Đoạn từ cầu Huổi Phạ đến hết đất nhà Thưởng Hồng (Thửa 19 TBĐ 51), đối diện bên kia đường hết đất thửa 247 TBĐ 50</t>
  </si>
  <si>
    <t xml:space="preserve"> -Đoạn từ tiếp giáp thửa 19 TBĐ 51 (Đối diện bên kia đường tiếp giáp thửa 247 TBĐ 50) đến hết địa phận xã Thanh Minh</t>
  </si>
  <si>
    <t>Đường Lia 1: Đoạn từ đầu cầu BTCT đến hết đất trường THCS Thanh Minh</t>
  </si>
  <si>
    <t>Đoạn từ ngã 3 rẽ vào bản Tà Lèng đến hết đất trụ sở UBND xã Tà Lèng (cũ)</t>
  </si>
  <si>
    <t>Đường du lịch Tà Lèng - Mường Phăng</t>
  </si>
  <si>
    <t>Đoạn từ tiếp giáp đất trụ sở UBND xã Tà Lèng (cũ) đến hết đất vườn ươm cây giống Mắc ca</t>
  </si>
  <si>
    <t>Đoạn từ tiếp giáp đất vườn ươm cây giống Mắc ca đến hết địa phận bản Kê Nênh</t>
  </si>
  <si>
    <t>Đoạn từ giáp địa phận bản Kê Nênh đến hết địa phận xã Thanh Minh</t>
  </si>
  <si>
    <t xml:space="preserve">Các đường còn lại thuộc các bản: Tà Lèng, Kê Nênh, Cụm Loọng Hỏm </t>
  </si>
  <si>
    <t>Các đường còn lại thuộc bản Nà Nghè</t>
  </si>
  <si>
    <t>Đường Vành đai 3 ASEAN: Đoạn tiếp giáp đường bệnh viện đi Tà Lèng đến hết địa phận Thành Phố</t>
  </si>
  <si>
    <t>Xã Pá Khoang</t>
  </si>
  <si>
    <t>Đoạn từ ngã ba bản Hả II gồm: Hướng đi Trung tâm xã Mường Phăng đến ngã ba đi bản Co Muông; hướng đi Nhà nghỉ Trúc An đến ngã ba đi bản Co Cượm; hướng đi Nà Nghè đến giáp ranh xã Tà Lèng, thành phố Điện Biên Phủ.</t>
  </si>
  <si>
    <t xml:space="preserve">Đường Nà Nhạn - Mường Phăng: Đoạn tiếp giáp Nà Nhạn đến tiếp giáp Mường Phăng </t>
  </si>
  <si>
    <t xml:space="preserve">Đoạn từ ngã ba Co Cượm đi qua BQLDA Hồ đến tiếp giáp vị trí 3 đường Mường Phăng đi ra Nà Nghè </t>
  </si>
  <si>
    <t>Xã Mường Phăng</t>
  </si>
  <si>
    <t>Khu Trung tâm xã: Đoạn từ ngã ba đi Nà Nhạn, Nà Nghè đến ngã ba đi Nà Tấu, Hầm Đại tướng Võ Nguyên Giáp</t>
  </si>
  <si>
    <t>Các trục đường liên thôn, nội thôn bản và tương đương</t>
  </si>
  <si>
    <t>Xã Nà Tấu</t>
  </si>
  <si>
    <t>Xã Nà Nhạn</t>
  </si>
  <si>
    <t xml:space="preserve">6.4 </t>
  </si>
  <si>
    <t>Đoạn từ ngã 3 Nà Nhạn đi Mường Phăng đến giáp xã Pa Khoang</t>
  </si>
  <si>
    <t>Xã Mường Mươn</t>
  </si>
  <si>
    <t>Đường QL12 đoạn từ ranh giới xã Mường Pồn huyện Điện Biên đến hết ranh giới bản Púng Giắt 1;</t>
  </si>
  <si>
    <t>Đường QL 12 đoạn từ ranh giới bản Púng Giắt 1 đến hết ranh giới giáp xã Na Sang;</t>
  </si>
  <si>
    <t>Các trục đường liên thôn, liên bản;</t>
  </si>
  <si>
    <t>Xã Na Sang</t>
  </si>
  <si>
    <t>Đường QL12 đoạn từ ranh giới xã Mường Mươn đến cầu Mường Mươn;</t>
  </si>
  <si>
    <t>Đường QL12 đoạn từ cầu Mường Mươn đến ranh giới thị trấn Mường Chà;</t>
  </si>
  <si>
    <t>Xã Sa Lông</t>
  </si>
  <si>
    <t>Đường QL12 đoạn từ ranh giới thị trấn Mường Chà đến hết ranh giới bản Háng Lìa;</t>
  </si>
  <si>
    <t>Đường QL12 đoạn từ tiếp giáp bản Háng Lìa đến hết ranh giới bản Sa Lông 1;</t>
  </si>
  <si>
    <t>Đường QL12 đoạn từ ranh giới bản Sa Lông 1 đến ranh giới xã Huổi Lèng;</t>
  </si>
  <si>
    <t>Xã Huổi Lèng</t>
  </si>
  <si>
    <t>Đường QL12 đoạn từ ranh giới xã Sa Lông đến hết ranh giới bản Huổi Toóng 1;</t>
  </si>
  <si>
    <t>Đường QL12 đoạn từ ranh giới bản Huổi Toóng 1 đến ranh giới xã Mường Tùng;</t>
  </si>
  <si>
    <t>Đường Ma Thì Hồ Chà Tở đoạn từ ranh giới bản Nậm Chua đến ranh giới xã Chà Tở;</t>
  </si>
  <si>
    <t>Xã Mường Tùng</t>
  </si>
  <si>
    <t>Đường QL 12 đoạn từ ranh giới xã Huổi Lèng đến ranh giới xã Lay Nưa;</t>
  </si>
  <si>
    <t>Đường tỉnh lộ 142 đoạn từ cầu Mường Tùng đến ranh giới xã Lay Nưa;</t>
  </si>
  <si>
    <t>Đường Mường Tùng đi Chà Tở (hết địa phận xã Mường Tùng)</t>
  </si>
  <si>
    <t>Xã Ma Thì Hồ</t>
  </si>
  <si>
    <t>Đường QL 4H từ ranh giới thị trấn Mường Chà đến hết cầu bê tông Km 20+906 QL4H;</t>
  </si>
  <si>
    <t>Đường QL 4H từ cầu bê tông Km 20+906 QL4H đến ngã ba đường rẽ bản Ma Thì Hồ 1;</t>
  </si>
  <si>
    <t>Đường QL 4H từ ngã ba đường rẽ bản Ma Thì Hồ 1 đến hết ranh giới giáp xã Si Pa phìn;</t>
  </si>
  <si>
    <t>Đường Ma Thì Hồ Chà Tở đoạn từ ranh giới bản Ma Thì Hồ 1 đến ranh giới xã Huổi Lèng;</t>
  </si>
  <si>
    <t>Đường đi bản Huổi Quang từ ranh giới bản Hồ Chim 2 đến ranh giới bản Huổi Hạ xã Na Sang;</t>
  </si>
  <si>
    <t>Xã Sá Tổng</t>
  </si>
  <si>
    <t>Đường QL 6 đoạn từ ranh giới thị xã Mường Lay đến ranh giới xã Hừa Ngài;</t>
  </si>
  <si>
    <t>Đường đi UBND xã từ ranh giới bản Phi 2 đến hết ranh giới bản Dế Da;</t>
  </si>
  <si>
    <t>Xã Pa Ham</t>
  </si>
  <si>
    <t>Đường QL 6 đoạn từ ranh giới xã Hừa Ngài hết ranh giới bản Pa Ham 1, Pa Ham 2;</t>
  </si>
  <si>
    <t>Đường QL 6 đoạn từ ranh giới bản Pa Ham 1 và Pa Ham 2 đi hết ranh giới bản Mường Anh 1, Mường Anh 2;</t>
  </si>
  <si>
    <t>Xã Nậm Nèn</t>
  </si>
  <si>
    <t>Đường QL 6 đoạn từ ranh giới xã Pa Ham đến hết ranh giới bản Phiêng Đất A;</t>
  </si>
  <si>
    <t>Đường QL 6 đoạn từ ranh giới bản Phiêng Đất A đến hết ranh giới bản Nậm Cút;</t>
  </si>
  <si>
    <t>Đường QL 6 đoạn từ ranh giới bản Nậm Cút đến ranh giới xã Mường Mùn;</t>
  </si>
  <si>
    <t>Đường tỉnh lộ 144B đoạn ngã 3 đường QL 6 từ bản phiêng đất A đến ranh giới xã Hừa Ngài</t>
  </si>
  <si>
    <t>Đoạn từ ngã tư QL 6 rẽ vào xã Huổi Mí đi qua bản Háng Trở đến ranh giới xã Huổi Mí</t>
  </si>
  <si>
    <t>Xã Hừa Ngài</t>
  </si>
  <si>
    <t>Đường QL 6 đoạn từ ranh giới xã Sá Tổng đến ranh giới xã Pa Ham;</t>
  </si>
  <si>
    <t>Đường tỉnh lộ 144B từ ranh giới xã Huổi Lèng đến hết ranh giới bản Há Là Chủ A, Há Là Chủ B;</t>
  </si>
  <si>
    <t>Đường tỉnh lộ 144B từ ranh giới bản Há Là Chủ A, Há Là Chủ B đến ranh giới xã Nậm Nèn;</t>
  </si>
  <si>
    <t>Xã Huổi Mí</t>
  </si>
  <si>
    <t>Đường tỉnh lộ 144B từ ranh giới xã Nậm Nèn đến hết ranh giới bản Lùng Thàng 1, Lùng Thàng 2;</t>
  </si>
  <si>
    <t>Đường tỉnh lộ 144B từ ranh giới bản Lùng Thàng 1, Lùng Thàng 2 đến hết ranh giới bản huổi Mí 1;</t>
  </si>
  <si>
    <t>Trung tâm xã Huổi Mí;</t>
  </si>
  <si>
    <t>Đường tỉnh lộ từ ranh giới trung tâm xã đến hết ranh giới bản Huổi Mí 2;</t>
  </si>
  <si>
    <t>2a</t>
  </si>
  <si>
    <t>2b</t>
  </si>
  <si>
    <t>2c</t>
  </si>
  <si>
    <t>2d</t>
  </si>
  <si>
    <t>2đ</t>
  </si>
  <si>
    <t>2e</t>
  </si>
  <si>
    <t xml:space="preserve">Đoạn từ nhà bà Lò Thị Nga thôn Thanh Đông đến đất ông Phạm Đồng Hưng thôn Thanh Đông
</t>
  </si>
  <si>
    <t>Đường Quốc lộ 4H: Đoạn từ cầu bê tông (nhà ông Phạm Văn Thư thửa 112 tờ bản đồ 130) đến thửa 66 tờ bản đồ 122 (Giáp đường bê tông lên bản Mường Nhé mới)</t>
  </si>
  <si>
    <t xml:space="preserve">Đường Quốc lộ 4H: Đoạn từ thửa 68 (đối diện thửa 66)
tờ bản đồ 122 đến đầu đường 32m </t>
  </si>
  <si>
    <t>5.4. HUYỆN MƯỜNG ẢNG</t>
  </si>
  <si>
    <t>Đơn giá đất SKC</t>
  </si>
  <si>
    <t>So sánh tăng giảm (+,-,%)</t>
  </si>
  <si>
    <t>Đoạn từ gia đình ông Lù Văn Văn đến ngã tư ( gia đình ông Tòng Văn Tại bản Bó Mạy)</t>
  </si>
  <si>
    <t>Đoạn từ nhà ông Tòng Văn Tại ( bản Bó Mạy) đến ranh giới TT Mường Ảng ( biên đất gia đình ông Nùng Văn Tuyến bản Bó Mạy)</t>
  </si>
  <si>
    <t>Đoạn từ cầu số 2 đến hết bản Thẳm Tọ</t>
  </si>
  <si>
    <t>Đoạn từ cầu số 1 đến hết bản Kéo</t>
  </si>
  <si>
    <t>CÁC XÃ VÙNG LÒNG CHẢO</t>
  </si>
  <si>
    <t>SXKD</t>
  </si>
  <si>
    <t>10.2a</t>
  </si>
  <si>
    <t>Đơn giá (80% đất ở)</t>
  </si>
  <si>
    <t>Đất sản xuất, kinh doanh phi nông nghiệp không phải là đất thương mại, dịch vụ</t>
  </si>
  <si>
    <t>4.16</t>
  </si>
  <si>
    <t>Sửa theo văn bản 1710</t>
  </si>
  <si>
    <t xml:space="preserve">Tiếp theo thửa 31 tờ bản đồ 163 (Lò Thị Định) đến giáp xã Luân Giói </t>
  </si>
  <si>
    <t xml:space="preserve">Đường Võ Nguyên Giáp đoạn từ đầu cầu Nam Nậm Cản đến hết thửa đất số 56, tờ bản đồ số 7 (nút giao với ngõ 285 hết bản Na Ka) </t>
  </si>
  <si>
    <t>Đường Khoàng Văn Tấm: Đoạn từ nút giao với Đường Lò Văn Hặc đến ngã ba giao nhau với Đường 12 Tháng 12 và Đường Lò Văn Hặc</t>
  </si>
  <si>
    <t>Đường Lò Văn Hặc: Đoạn từ nút giao với đường Quốc lộ 12 đến ngã ba giao nhau với Đường 12 Tháng 12 và Đường Khoàng Văn Tấm</t>
  </si>
  <si>
    <t>Đường N8A: Đoạn từ nút giao Đường Lò Văn Hặc  về phía bắc đến nút giao với Đường Lò Văn Hặc (cạnh khe huổi Bắc).</t>
  </si>
  <si>
    <t>Ngõ 285 đường Võ Nguyên Giáp</t>
  </si>
  <si>
    <t>So sánh tăng giảm (+;-%)</t>
  </si>
  <si>
    <t>%</t>
  </si>
  <si>
    <t>1 - Trung tâm huyện lỵ và xã Mường Nhé</t>
  </si>
  <si>
    <t>Trục đường 18m: Đoạn từ ngã 3 giao với trục 36m đến ngã 3 Giao với trục 18m (khu đất quy hoạch khách sạn)</t>
  </si>
  <si>
    <t>Trục đường 18m: Đoạn từ ngã 3 giao với trục 36m đến ngã 3 Giao với trục 18 m (Sân vận động)</t>
  </si>
  <si>
    <t>Trục đường 18m: Đoạn từ ngã 3 giao với trục 39m đến ngã 3 Giao với trục 15 m (UBND xã Mường Nhé)</t>
  </si>
  <si>
    <t>Trục đường 18m: Đoạn từ ngã 3 giao với trục 18m đến ngã 3 Giao với trục 13 m (trục 18m vành đai - nhà nghỉ Bình Minh)</t>
  </si>
  <si>
    <t>Trục đường 18m: Đoạn từ ngã 3 giao với trục 32m đến ngã 3 Giao với trục 13 m ( nhà nghỉ Trúc An)</t>
  </si>
  <si>
    <t>Trục đường 15m: Đoạn từ ngã 3 giao với trục đường 18m đến ngã 3 giao với trục đường 15m (Tượng đài - UBND xã Mường Nhé)</t>
  </si>
  <si>
    <t>Trục đường 15m: Đoạn từ ngã 3 giao với trục đường 18m đến ngã 3 giao với trục đường 15m (Nhà ông Lê Minh Phúc - Nhà văn hóa Tổ 2)</t>
  </si>
  <si>
    <t>1.14</t>
  </si>
  <si>
    <t>1.15</t>
  </si>
  <si>
    <t>1.16</t>
  </si>
  <si>
    <t>Trục đường 10,5m (Đường Bê tông)</t>
  </si>
  <si>
    <t>1.17</t>
  </si>
  <si>
    <t>Trục đường sau huyện ủy, sau Chi cục thống kê huyện (trục 11,5 m)</t>
  </si>
  <si>
    <t>1.18</t>
  </si>
  <si>
    <t>1.19</t>
  </si>
  <si>
    <t>1.20</t>
  </si>
  <si>
    <t>1.21</t>
  </si>
  <si>
    <t>1.22</t>
  </si>
  <si>
    <t>1.23</t>
  </si>
  <si>
    <t>1.24</t>
  </si>
  <si>
    <t>1.25</t>
  </si>
  <si>
    <t>1.26</t>
  </si>
  <si>
    <t>1.27</t>
  </si>
  <si>
    <t>1.28</t>
  </si>
  <si>
    <t>1.29</t>
  </si>
  <si>
    <t>1.30</t>
  </si>
  <si>
    <t>2 - Xã Quảng Lâm</t>
  </si>
  <si>
    <t>Đường Quảng Lâm - Huổi Lụ - Pá Mỳ (thuộc địa phận xã Quảng Lâm)</t>
  </si>
  <si>
    <t>3 - Xã Nậm Kè</t>
  </si>
  <si>
    <t>Đường Quốc lộ 4H: Đoạn từ Đội cao su Nậm Kè đến Khe Huổi Vai, bản Phiêng Vai</t>
  </si>
  <si>
    <t>Đường Quốc lộ 4H:  Đoạn từ khe Huổi Vai,  bản Phiêng Vai đến cầu Nậm Kè</t>
  </si>
  <si>
    <t>4 - Xã Mường Toong</t>
  </si>
  <si>
    <t>5 - Xã Pá Mỳ</t>
  </si>
  <si>
    <t>Đường liên xã Quảng Lâm - Huổi Lụ - Pá Mỳ</t>
  </si>
  <si>
    <t>6 - Xã Huổi Lếch</t>
  </si>
  <si>
    <t>7 - Xã Nậm Vì</t>
  </si>
  <si>
    <t>Trung tâm xã : Bản Nậm Vì, Bản Huổi Lúm</t>
  </si>
  <si>
    <t>Các bản Vang Hồ, Huổi Chạ 1, Huổi Chạ 2</t>
  </si>
  <si>
    <t>8 - Xã Chung Chải</t>
  </si>
  <si>
    <t>Quốc lộ 4H: Đoạn từ đầu bản Đoàn Kết đến giáp bản Si Ma 2 (trung tâm xã)</t>
  </si>
  <si>
    <t>Quốc lộ 4H: Đoạn từ đầu bản Si Ma 2 đến hết ranh giới xã.</t>
  </si>
  <si>
    <t>Quốc lộ 4H2: Đoạn từ cầu Nậm Ma Đoàn Kết đến hết ranh giới xã Chung Chải.</t>
  </si>
  <si>
    <t>9 - Xã Leng Su Sìn</t>
  </si>
  <si>
    <t>10 - Xã Sen Thượng</t>
  </si>
  <si>
    <t>11 - Xã Sín Thầu</t>
  </si>
  <si>
    <t>Quốc lộ 4H2: Trạm quản lý đường bộ 1 (Cung 24 quốc lộ 4H2) đến thửa 81, tờ BĐ ĐC 123 (đầu cầu Tả Co Khừ)</t>
  </si>
  <si>
    <t>Quốc lộ 4H2: Đoạn từ thửa 72, tờ BDĐC 123 ( cầu Tả Co Khừ) đến Cầu Bê Tông (Bản Tá Miếu)</t>
  </si>
  <si>
    <t>Giá đất</t>
  </si>
  <si>
    <t xml:space="preserve">Ghi Chú </t>
  </si>
  <si>
    <t>Ghi Chú</t>
  </si>
  <si>
    <t>Quyết định 53, hệ số k=1,1</t>
  </si>
  <si>
    <t>k = 1,1</t>
  </si>
  <si>
    <t>PP tính giá trung bình hợp đồng thu thập (3)</t>
  </si>
  <si>
    <t>3 HĐ</t>
  </si>
  <si>
    <t>3a</t>
  </si>
  <si>
    <t xml:space="preserve">Đường tỉnh lộ 144B từ ngã 3 bản Trung Dình đến giáp ranh xã Hừa Ngà </t>
  </si>
  <si>
    <t>Căn cứ theo Quyết định số: 153 /QĐ-SGTVT ngày 02 tháng 04 năm 2019 Về việc đổi tên đường liên thôn, liên bản sang tuyến đường tỉnh lộ 144B, PP So sánh</t>
  </si>
  <si>
    <t>Tuyến mới, giá đề xuất của huyện</t>
  </si>
  <si>
    <t>PP so sánh</t>
  </si>
  <si>
    <t>PP giá trị trung bình thu thập (3 hợp đồng)</t>
  </si>
  <si>
    <t>3 HĐ bình quân</t>
  </si>
  <si>
    <t>Đường QL 6 đoạn từ ranh giới bản Mường Anh 1, Mường Anh 2 đến ranh giới xã Nận Nèn;</t>
  </si>
  <si>
    <t xml:space="preserve">Căn cứ theo Quyết định số: 153 /QĐ-SGTVT ngày 02 tháng 04 năm 2019 Về việc đổi tên đường liên thôn, liên bản sang tuyến đường tỉnh lộ 144B </t>
  </si>
  <si>
    <t>Giá theo đề xuất huyện</t>
  </si>
  <si>
    <t>Đoạn mới làm PP so sánh</t>
  </si>
  <si>
    <t>Đường liên xã đoạn từ ranh giới xã Huổi Lèng đến hết ranh giới bản Há Là Chủ A, Há Là Chủ B;</t>
  </si>
  <si>
    <t>Căn cứ theo Quyết định số: 153 /QĐ-SGTVT ngày 02 tháng 04 năm 2019 Về việc đổi tên đường liên thôn, liên bản sang tuyến đường tỉnh lộ 144B, hệ số k=1,1</t>
  </si>
  <si>
    <t>Đường liên xã đoạn từ ranh giới bản Há Là Chủ A, Há Là Chủ B đến ranh giới xã Nậm Nèn;</t>
  </si>
  <si>
    <t>Đường liên xã từ ranh giới xã Nậm Nèn đến hết ranh giới bản Lùng Thàng 1, Lùng Thàng 2;</t>
  </si>
  <si>
    <t>Căn cứ theo Quyết định số: 153 /QĐ-SGTVT ngày 02 tháng 04 năm 2019 Về việc đổi tên đường liên thôn, liên bản sang tuyến đường tỉnh lộ 144B, PP so sánh</t>
  </si>
  <si>
    <t>Đề xuất giá của huyện</t>
  </si>
  <si>
    <t>Huyện đề nghị</t>
  </si>
  <si>
    <t>Đường liên xã từ ranh giới bản Lùng Thàng 1, Lùng Thàng 2 đến hết ranh giới bản huổi Mí 1;</t>
  </si>
  <si>
    <t>Đường liên xã từ ranh giới trung tâm xã đến hết ranh giới bản Huổi Mí 2;</t>
  </si>
  <si>
    <t>Căn cứ theo Quyết định số: 153 /QĐ-SGTVT ngày 02 tháng 04 năm 2019 Về việc đổi tên đường liên thôn, liên bản sang tuyến đường tỉnh lộ 144B, hệ số k = 1,1</t>
  </si>
  <si>
    <t>Tiếp theo thửa số 52 tờ bản đồ 146 (Quàng Thị Um) đến  thửa số 31 tờ bản đồ 163 (Lò Thị Định hướng đi Luân Giói) đến mốc HIII 099415 (hướng đi Chiềng Sơ)</t>
  </si>
  <si>
    <t>Từ ngã ba rẽ vào trụ sở UBND xã bán kính 500m</t>
  </si>
  <si>
    <t>Trung tâm xã (bán kính 500m)</t>
  </si>
  <si>
    <t>Trung tâm xã vùng thấp (bán kính 500m)</t>
  </si>
  <si>
    <t>Trung tâm xã cũ và UBND mới (bán kính 500 m)</t>
  </si>
  <si>
    <t>Trung tâm 4 xã vùng cao bán kính 500m và khu trung tâm UBND xã Phình Sáng mới (bản Háng Khúa)</t>
  </si>
  <si>
    <t>Đoạn từ rẽ vào bản Xôm, bản Noong Ứng đến giáp xã Noong Hẹt (hết đất nhà ông Thắng thôn Hoàng Công Chất)</t>
  </si>
  <si>
    <r>
      <t>Các đường còn lại thuộc các bản:</t>
    </r>
    <r>
      <rPr>
        <sz val="13"/>
        <rFont val="Times New Roman"/>
        <family val="1"/>
      </rPr>
      <t xml:space="preserve"> Phiêng Lơi, Púng Tôm, Co Củ, Nà Lơi</t>
    </r>
  </si>
  <si>
    <r>
      <t xml:space="preserve">Các đường còn lại thuộc các bản: </t>
    </r>
    <r>
      <rPr>
        <sz val="13"/>
        <rFont val="Times New Roman"/>
        <family val="1"/>
      </rPr>
      <t>Pa Pốm, Tân Quang, Huổi Lơi</t>
    </r>
  </si>
  <si>
    <r>
      <t>Đường Trung tâm Mường Phăng đi ra Nà nghè:</t>
    </r>
    <r>
      <rPr>
        <sz val="13"/>
        <rFont val="Times New Roman"/>
        <family val="1"/>
      </rPr>
      <t xml:space="preserve"> Đoạn từ tiếp giáp xã Mường Phăng đến cầu tràn bản Co Thón</t>
    </r>
  </si>
  <si>
    <r>
      <t>Đường Trung tâm Mường Phăng đi ra Nà nghè</t>
    </r>
    <r>
      <rPr>
        <sz val="13"/>
        <rFont val="Times New Roman"/>
        <family val="1"/>
      </rPr>
      <t xml:space="preserve"> Đoạn từ cầu tràn bản Co Thón đến ngã ba đi bản Co Muông</t>
    </r>
  </si>
  <si>
    <r>
      <t xml:space="preserve">Đường vào Hồ Pa Khoang: </t>
    </r>
    <r>
      <rPr>
        <sz val="13"/>
        <rFont val="Times New Roman"/>
        <family val="1"/>
      </rPr>
      <t>Từ ngã ba Co Cượm đến giáp vị trí 3 đường Mường Phăng đi Nà Nhạn</t>
    </r>
  </si>
  <si>
    <r>
      <t>Đường Trung tâm xã đi xã Nà Nhạn:</t>
    </r>
    <r>
      <rPr>
        <sz val="13"/>
        <rFont val="Times New Roman"/>
        <family val="1"/>
      </rPr>
      <t xml:space="preserve"> Đoạn từ tiếp giáp vị trí 3 đường vào hầm Đại Tướng đến giáp xã Nà Nhạn</t>
    </r>
  </si>
  <si>
    <r>
      <t>Đường vào Hầm Đại Tướng:</t>
    </r>
    <r>
      <rPr>
        <sz val="13"/>
        <rFont val="Times New Roman"/>
        <family val="1"/>
      </rPr>
      <t xml:space="preserve"> Đoạn từ  ngã ba đi Nà Tấu đến hết đường nhựa khu di tích hầm Đại Tướng</t>
    </r>
  </si>
  <si>
    <r>
      <t>Đường vào Hầm Đại Tướng:</t>
    </r>
    <r>
      <rPr>
        <sz val="13"/>
        <rFont val="Times New Roman"/>
        <family val="1"/>
      </rPr>
      <t xml:space="preserve"> Đoạn từ  ngã ba đi Nà Tấu đến hết đường nhựa khu di tích hầm Đại Tướng (Đường đôi)</t>
    </r>
  </si>
  <si>
    <r>
      <t xml:space="preserve">Đường Trung tâm xã đi Nà Nghè: </t>
    </r>
    <r>
      <rPr>
        <sz val="13"/>
        <rFont val="Times New Roman"/>
        <family val="1"/>
      </rPr>
      <t xml:space="preserve"> Đoạn từ Ngã ba đi Nà Nhạn đến giáp ranh xã Pá Khoang</t>
    </r>
  </si>
  <si>
    <r>
      <t xml:space="preserve">Đường đi Nà Tấu: </t>
    </r>
    <r>
      <rPr>
        <sz val="13"/>
        <rFont val="Times New Roman"/>
        <family val="1"/>
      </rPr>
      <t>Đoạn từ giáp vị trí 3 đường đi Hầm Đại Tướng đến giáp xã Nà Tấu</t>
    </r>
  </si>
  <si>
    <r>
      <t xml:space="preserve">QL 279: </t>
    </r>
    <r>
      <rPr>
        <sz val="13"/>
        <rFont val="Times New Roman"/>
        <family val="1"/>
      </rPr>
      <t>Đoạn từ giáp huyện Mường Ảng đến cầu bản Xôm</t>
    </r>
  </si>
  <si>
    <r>
      <t xml:space="preserve">QL 279: </t>
    </r>
    <r>
      <rPr>
        <sz val="13"/>
        <rFont val="Times New Roman"/>
        <family val="1"/>
      </rPr>
      <t>Đoạn từ cầu bản Xôm đến cổng Trường Tiểu học số 2 Nà Tấu</t>
    </r>
  </si>
  <si>
    <r>
      <t xml:space="preserve">QL 279: </t>
    </r>
    <r>
      <rPr>
        <sz val="13"/>
        <rFont val="Times New Roman"/>
        <family val="1"/>
      </rPr>
      <t>Đoạn từ  cổng Trường Tiểu học số 2 Nà Tấu đến giáp xã Nà Nhạn</t>
    </r>
  </si>
  <si>
    <r>
      <t>Đường đi Mường Phăng:</t>
    </r>
    <r>
      <rPr>
        <sz val="13"/>
        <rFont val="Times New Roman"/>
        <family val="1"/>
      </rPr>
      <t xml:space="preserve"> Đoạn từ hết vị trí 1 QL 279 đến Kho K31</t>
    </r>
  </si>
  <si>
    <r>
      <t>Đường đi Mường Phăng:</t>
    </r>
    <r>
      <rPr>
        <sz val="13"/>
        <rFont val="Times New Roman"/>
        <family val="1"/>
      </rPr>
      <t xml:space="preserve"> Đoạn từ hết vị trí 1 QL 279 đến tiếp giáp đường 279B</t>
    </r>
  </si>
  <si>
    <r>
      <rPr>
        <b/>
        <sz val="13"/>
        <rFont val="Times New Roman"/>
        <family val="1"/>
      </rPr>
      <t>Đường QL 279B:</t>
    </r>
    <r>
      <rPr>
        <sz val="13"/>
        <rFont val="Times New Roman"/>
        <family val="1"/>
      </rPr>
      <t xml:space="preserve"> Đoạn từ hết vị trí 1 đến Kho K31</t>
    </r>
  </si>
  <si>
    <r>
      <t>Đường đi Mường Phăng:</t>
    </r>
    <r>
      <rPr>
        <sz val="13"/>
        <rFont val="Times New Roman"/>
        <family val="1"/>
      </rPr>
      <t xml:space="preserve"> Đoạn tiếp giáp Kho K31 đến ngã ba đi bản Nà Luống</t>
    </r>
  </si>
  <si>
    <r>
      <t>Đường QL 279B:</t>
    </r>
    <r>
      <rPr>
        <sz val="13"/>
        <rFont val="Times New Roman"/>
        <family val="1"/>
      </rPr>
      <t xml:space="preserve"> Đoạn tiếp giáp Kho K31 đến ngã ba đi bản Nà Luống</t>
    </r>
  </si>
  <si>
    <r>
      <t>QL 279:</t>
    </r>
    <r>
      <rPr>
        <sz val="13"/>
        <rFont val="Times New Roman"/>
        <family val="1"/>
      </rPr>
      <t xml:space="preserve"> Đoạn từ giáp xã Nà Tấu đến km 60</t>
    </r>
  </si>
  <si>
    <r>
      <t>QL 279:</t>
    </r>
    <r>
      <rPr>
        <sz val="13"/>
        <rFont val="Times New Roman"/>
        <family val="1"/>
      </rPr>
      <t xml:space="preserve"> Đoạn từ km 60 đến km 62</t>
    </r>
  </si>
  <si>
    <r>
      <t>QL 279:</t>
    </r>
    <r>
      <rPr>
        <sz val="13"/>
        <rFont val="Times New Roman"/>
        <family val="1"/>
      </rPr>
      <t xml:space="preserve"> Đoạn từ km 62 đến giáp xã Thanh Minh, TP Điện Biên Phủ</t>
    </r>
  </si>
  <si>
    <t>(Ban hành kèm theo Nghị quyết số        /2024/NQ-HĐND ngày      tháng 12 năm 2024 
của Hội đồng nhân dân tỉnh Điện Biên)</t>
  </si>
  <si>
    <r>
      <t xml:space="preserve">QL 279: </t>
    </r>
    <r>
      <rPr>
        <sz val="13"/>
        <rFont val="Times New Roman"/>
        <family val="1"/>
      </rPr>
      <t>Đoạn từ giáp ranh thành phố Điện Biên phủ về phía nam đến hết đường nhựa 10,5m vào khu dân cư Bom La (đường rẽ vào cổng trường Chính trị huyện); về phía đông đến đường rẽ vào UBND huyện.</t>
    </r>
  </si>
  <si>
    <r>
      <t xml:space="preserve">QL 279: </t>
    </r>
    <r>
      <rPr>
        <sz val="13"/>
        <rFont val="Times New Roman"/>
        <family val="1"/>
      </rPr>
      <t>Đoạn tiếp giáp từ đường nhựa 10,5m vào khu dân cư Bom La (đường rẽ vào cổng trường Chính trị huyện), về phía đông giáp đường vào UBND huyện đến hết cây xăng của Công ty TNHH TM và XD Nam Linh Trang về phía đông đến hết thửa đất số 161 tờ bản đồ 361-a.</t>
    </r>
  </si>
  <si>
    <r>
      <t>QL 279:</t>
    </r>
    <r>
      <rPr>
        <sz val="13"/>
        <rFont val="Times New Roman"/>
        <family val="1"/>
      </rPr>
      <t xml:space="preserve"> Đoạn từ tiếp giáp cây xăng của Công ty TNHH TM và XD Nam Linh Trang, về phía đông giáp thửa đất số 191 tờ bản đồ số 361-a đến ranh giới giáp xã Thanh An.</t>
    </r>
  </si>
  <si>
    <r>
      <t xml:space="preserve">Đường vành đai 2 (Noong Bua - Pú Tửu): </t>
    </r>
    <r>
      <rPr>
        <sz val="13"/>
        <rFont val="Times New Roman"/>
        <family val="1"/>
      </rPr>
      <t>Đoạn tiếp giáp thành phố Điện Biên Phủ đến ngã tư đường rẽ vào đội 2, đội 10.</t>
    </r>
  </si>
  <si>
    <r>
      <t xml:space="preserve">Đường vành đai 2 (Noong Bua - Pú Tửu): </t>
    </r>
    <r>
      <rPr>
        <sz val="13"/>
        <rFont val="Times New Roman"/>
        <family val="1"/>
      </rPr>
      <t>Đoạn tiếp giáp từ ngã tư đường rẽ vào đội 2, đội 10 đến giáp trường tiểu học số 1 Thanh Xương.</t>
    </r>
  </si>
  <si>
    <r>
      <t xml:space="preserve">Đường đi Pú Tửu: </t>
    </r>
    <r>
      <rPr>
        <sz val="13"/>
        <rFont val="Times New Roman"/>
        <family val="1"/>
      </rPr>
      <t>Đoạn từ tiếp giáp vị trí 3 QL 279 qua ngã ba Huổi Hốc đi đội 7 đến Kênh thủy nông; qua đội 11 đến Kênh thủy nông.</t>
    </r>
  </si>
  <si>
    <r>
      <t>QL 279:</t>
    </r>
    <r>
      <rPr>
        <sz val="13"/>
        <rFont val="Times New Roman"/>
        <family val="1"/>
      </rPr>
      <t xml:space="preserve"> Đoạn từ giáp xã Thanh Xương đến đường rẽ vào bản mới Noong Ứng.</t>
    </r>
  </si>
  <si>
    <r>
      <t>QL 279:</t>
    </r>
    <r>
      <rPr>
        <sz val="13"/>
        <rFont val="Times New Roman"/>
        <family val="1"/>
      </rPr>
      <t xml:space="preserve"> Đoạn từ đường rẽ vào bản Mới Noong Ứng đến giáp xã Noong Hẹt (hết đất nhà ông Thắng thôn Hoàng Công Chất).</t>
    </r>
  </si>
  <si>
    <r>
      <t>Đường trục chính vào UBND xã:</t>
    </r>
    <r>
      <rPr>
        <sz val="13"/>
        <rFont val="Times New Roman"/>
        <family val="1"/>
      </rPr>
      <t xml:space="preserve"> Đoạn từ tiếp giáp vị trí 3 QL 279 đến Kênh thủy nông</t>
    </r>
  </si>
  <si>
    <r>
      <t>Đường trục chính vào UBND xã:</t>
    </r>
    <r>
      <rPr>
        <sz val="13"/>
        <rFont val="Times New Roman"/>
        <family val="1"/>
      </rPr>
      <t xml:space="preserve"> Đoạn từ Kênh thủy nông đến ngã ba rẽ đi bản Hoong Khoong</t>
    </r>
  </si>
  <si>
    <r>
      <t>Đường trục chính vào UBND xã:</t>
    </r>
    <r>
      <rPr>
        <sz val="13"/>
        <rFont val="Times New Roman"/>
        <family val="1"/>
      </rPr>
      <t xml:space="preserve"> Đoạn từ ngã ba đi bản Hoong Khoong đến hồ Cổ Ngựa (Hết đất nhà ông Chuyển thôn Đông Biên 5)</t>
    </r>
  </si>
  <si>
    <r>
      <t>Đường trục chính vào UBND xã:</t>
    </r>
    <r>
      <rPr>
        <sz val="13"/>
        <rFont val="Times New Roman"/>
        <family val="1"/>
      </rPr>
      <t xml:space="preserve"> Đoạn từ tiếp giáp đất nhà ông Chuyển thôn Đông Biên 5 đến tiếp giáp vị trí 3 đường phía Đông</t>
    </r>
  </si>
  <si>
    <r>
      <t>Đường vành đai phía Đông:</t>
    </r>
    <r>
      <rPr>
        <sz val="13"/>
        <rFont val="Times New Roman"/>
        <family val="1"/>
      </rPr>
      <t xml:space="preserve"> Đoạn từ giáp xã Thanh Xương đến giáp xã Noong Hẹt</t>
    </r>
  </si>
  <si>
    <r>
      <t>Quốc lộ 279:</t>
    </r>
    <r>
      <rPr>
        <sz val="13"/>
        <rFont val="Times New Roman"/>
        <family val="1"/>
      </rPr>
      <t xml:space="preserve"> Đoạn từ tiếp giáp Thanh An đến cống qua Quốc lộ 279</t>
    </r>
  </si>
  <si>
    <r>
      <t>Quốc lộ 279:</t>
    </r>
    <r>
      <rPr>
        <sz val="13"/>
        <rFont val="Times New Roman"/>
        <family val="1"/>
      </rPr>
      <t xml:space="preserve"> Đoạn từ  cống qua Quốc lộ 279 đến cổng phụ chợ Bản Phủ</t>
    </r>
  </si>
  <si>
    <r>
      <t>Quốc lộ 279:</t>
    </r>
    <r>
      <rPr>
        <sz val="13"/>
        <rFont val="Times New Roman"/>
        <family val="1"/>
      </rPr>
      <t xml:space="preserve"> Đoạn từ cổng phụ chợ Bản Phủ đến cống giáp Chi nhánh Ngân hàng Nông Nghiệp Bản Phủ</t>
    </r>
  </si>
  <si>
    <r>
      <t>Quốc lộ 279:</t>
    </r>
    <r>
      <rPr>
        <sz val="13"/>
        <rFont val="Times New Roman"/>
        <family val="1"/>
      </rPr>
      <t xml:space="preserve"> Đoạn từ cống giáp Chi nhánh Ngân hàng Bản Phủ đến đường rẽ vào trụ sở UBND xã Noong Hẹt</t>
    </r>
  </si>
  <si>
    <r>
      <t xml:space="preserve">Đường Quốc Lộ 12 kéo dài: </t>
    </r>
    <r>
      <rPr>
        <sz val="13"/>
        <rFont val="Times New Roman"/>
        <family val="1"/>
      </rPr>
      <t>Đoạn từ hết vị trí 1 Quốc lộ 279 đến bờ Thành ngoại</t>
    </r>
  </si>
  <si>
    <r>
      <t xml:space="preserve">Đường Quốc Lộ 12 kéo dài: </t>
    </r>
    <r>
      <rPr>
        <sz val="13"/>
        <rFont val="Times New Roman"/>
        <family val="1"/>
      </rPr>
      <t>Đoạn từ bờ Thành ngoại phía Đông đến bờ Thành ngoại phía Tây và đường rẽ vào Đền Hoàng Công Chất</t>
    </r>
  </si>
  <si>
    <r>
      <t xml:space="preserve">Đường Quốc Lộ 12 kéo dài: </t>
    </r>
    <r>
      <rPr>
        <sz val="13"/>
        <rFont val="Times New Roman"/>
        <family val="1"/>
      </rPr>
      <t>Đoạn từ bờ Thành ngoại phía Tây đến cầu Nậm Thanh</t>
    </r>
  </si>
  <si>
    <r>
      <t>Đường đi vào UBND xã:</t>
    </r>
    <r>
      <rPr>
        <sz val="13"/>
        <rFont val="Times New Roman"/>
        <family val="1"/>
      </rPr>
      <t xml:space="preserve"> Đoạn từ hết vị trí 3 Quốc lộ 279 đến đầu bản Bông</t>
    </r>
  </si>
  <si>
    <r>
      <t>Đường đi vào UBND xã:</t>
    </r>
    <r>
      <rPr>
        <sz val="13"/>
        <rFont val="Times New Roman"/>
        <family val="1"/>
      </rPr>
      <t xml:space="preserve"> Đoạn từ đầu bản Bông đến hết Trường Mầm non</t>
    </r>
  </si>
  <si>
    <r>
      <t>Đường vành đai phía Đông:</t>
    </r>
    <r>
      <rPr>
        <sz val="13"/>
        <rFont val="Times New Roman"/>
        <family val="1"/>
      </rPr>
      <t xml:space="preserve"> Đoạn từ giáp xã Thanh An đến giáp xã Sam Mứn </t>
    </r>
  </si>
  <si>
    <r>
      <t>QL 279:</t>
    </r>
    <r>
      <rPr>
        <sz val="13"/>
        <rFont val="Times New Roman"/>
        <family val="1"/>
      </rPr>
      <t xml:space="preserve"> Đoạn từ đất nhà  ông Nguyễn Văn Hà đối diện về hướng đông là đất nhà ông Nguyễn Văn Thống đến đường rẽ vào Nghĩa trang nhân dân Pom Lót (đối diện là hết đất nhà ông Nguyễn Văn Vũ) bao gồm cả hai bên đường</t>
    </r>
  </si>
  <si>
    <r>
      <t>QL 279:</t>
    </r>
    <r>
      <rPr>
        <sz val="13"/>
        <rFont val="Times New Roman"/>
        <family val="1"/>
      </rPr>
      <t xml:space="preserve"> Đoạn từ đất nhà  ông Nguyễn Văn Hà, đối diện là đất ông Phạm Thanh Thụy đến giáp cống bê tông thoát nước (hết đất ông Nguyễn Văn Cường, đối diện là hết đất ông Hoàng Hán Thăng) </t>
    </r>
  </si>
  <si>
    <r>
      <t>QL 279:</t>
    </r>
    <r>
      <rPr>
        <sz val="13"/>
        <rFont val="Times New Roman"/>
        <family val="1"/>
      </rPr>
      <t xml:space="preserve"> Đoạn từ giáp đường vào Nghĩa trang nhân dân Pom Lót qua ngã ba: Hướng đi Tây Trang đến đường đi vào đội 9 đối diện là ngõ vào nhà ông Lò Văn Thanh</t>
    </r>
  </si>
  <si>
    <r>
      <t>QL 279:</t>
    </r>
    <r>
      <rPr>
        <sz val="13"/>
        <rFont val="Times New Roman"/>
        <family val="1"/>
      </rPr>
      <t xml:space="preserve"> Đoạn từ cống bê tông thoát nước (giáp đất ông Nguyễn Văn Cường, đối diện là giáp đất ông Hoàng Hán Thăng) đến đường đi vào thôn 9, đối diện là ngõ vào nhà ông Lò Văn Thanh</t>
    </r>
  </si>
  <si>
    <r>
      <t>QL 279:</t>
    </r>
    <r>
      <rPr>
        <sz val="13"/>
        <rFont val="Times New Roman"/>
        <family val="1"/>
      </rPr>
      <t xml:space="preserve"> Đoạn từ đường đi vào đội 9 đối diện là ngõ vào nhà ông Lò Văn Thanh đến cầu Pắc Nậm.</t>
    </r>
  </si>
  <si>
    <r>
      <t>QL 279:</t>
    </r>
    <r>
      <rPr>
        <sz val="13"/>
        <rFont val="Times New Roman"/>
        <family val="1"/>
      </rPr>
      <t xml:space="preserve"> Đoạn từ đường đi vào thôn 9, đối diện là ngõ vào nhà ông Lò Văn Thanh đến cầu Pá Nậm.</t>
    </r>
  </si>
  <si>
    <r>
      <t>QL 279:</t>
    </r>
    <r>
      <rPr>
        <sz val="13"/>
        <rFont val="Times New Roman"/>
        <family val="1"/>
      </rPr>
      <t xml:space="preserve"> Đoạn từ cầu Pắc Nậm đến cầu bản Na Hai (Hết đất nhà ông Hương Nhung)</t>
    </r>
  </si>
  <si>
    <r>
      <t>QL 279:</t>
    </r>
    <r>
      <rPr>
        <sz val="13"/>
        <rFont val="Times New Roman"/>
        <family val="1"/>
      </rPr>
      <t xml:space="preserve"> Đoạn từ cầu Pá Nậm đến cầu bản Na Hai (Hết đất nhà ông Hương Nhung)</t>
    </r>
  </si>
  <si>
    <r>
      <t>QL 279:</t>
    </r>
    <r>
      <rPr>
        <sz val="13"/>
        <rFont val="Times New Roman"/>
        <family val="1"/>
      </rPr>
      <t xml:space="preserve"> Đoạn từ cầu bản Na Hai (hết đất ông Hương Nhung) đến giáp xã Na Ư </t>
    </r>
  </si>
  <si>
    <r>
      <t xml:space="preserve">Đường đi ĐBĐ: </t>
    </r>
    <r>
      <rPr>
        <sz val="13"/>
        <rFont val="Times New Roman"/>
        <family val="1"/>
      </rPr>
      <t>đoạn từ giáp nhà bà Bùi Thị Mai đối diện là đường vào đội 2 đến hết địa phận xã Pom Lót.</t>
    </r>
  </si>
  <si>
    <r>
      <t xml:space="preserve">Đường đi ĐBĐ: </t>
    </r>
    <r>
      <rPr>
        <sz val="13"/>
        <rFont val="Times New Roman"/>
        <family val="1"/>
      </rPr>
      <t>Từ ngã tư đường vào nhà văn hóa thôn 2, đối diện là đường vào thôn 5 đến hết địa phận xã Pom Lót</t>
    </r>
  </si>
  <si>
    <r>
      <t>Đường đi ĐBĐ:</t>
    </r>
    <r>
      <rPr>
        <sz val="13"/>
        <rFont val="Times New Roman"/>
        <family val="1"/>
      </rPr>
      <t xml:space="preserve"> Đoạn từ giáp địa phận xã Pom Lót đến hết đất nhà ông Đỗ Văn Hữu bản Đon Đứa</t>
    </r>
  </si>
  <si>
    <r>
      <t>Đường đi ĐBĐ:</t>
    </r>
    <r>
      <rPr>
        <sz val="13"/>
        <rFont val="Times New Roman"/>
        <family val="1"/>
      </rPr>
      <t xml:space="preserve"> Đoạn từ giáp đất nhà ông Đỗ Văn Hữu bản Đon Đứa đến cầu bê tông (gần ngõ  nhà  ông Hùng)</t>
    </r>
  </si>
  <si>
    <r>
      <t>Đường đi ĐBĐ:</t>
    </r>
    <r>
      <rPr>
        <sz val="13"/>
        <rFont val="Times New Roman"/>
        <family val="1"/>
      </rPr>
      <t xml:space="preserve"> Đoạn từ giáp đất nhà ông Đỗ Văn Hữu bản Đon Đứa đến cầu bê tông (gần ngõ nhà ông Hùng)</t>
    </r>
  </si>
  <si>
    <r>
      <t>Đường đi ĐBĐ:</t>
    </r>
    <r>
      <rPr>
        <sz val="13"/>
        <rFont val="Times New Roman"/>
        <family val="1"/>
      </rPr>
      <t xml:space="preserve"> Đoạn từ cầu bê tông (gần ngõ nhà ông Hùng) hướng đi Điện Biên Đông đến hết nhà ông Vui (Quán cơm bình dân); hướng đi theo đường phía đông đến hết đất nhà ông Nguyễn Văn Tân (đối diện là hết đất nhà ông Cao Trọng Trường).  </t>
    </r>
  </si>
  <si>
    <r>
      <t xml:space="preserve">Đường đi ĐBĐ: </t>
    </r>
    <r>
      <rPr>
        <sz val="13"/>
        <rFont val="Times New Roman"/>
        <family val="1"/>
      </rPr>
      <t>Đoạn từ giáp đất nhà ông Vui (quán cơm bình dân) đến cầu bê tông giáp doanh trại Bộ đội</t>
    </r>
  </si>
  <si>
    <r>
      <t xml:space="preserve">Đường đi ĐBĐ: </t>
    </r>
    <r>
      <rPr>
        <sz val="13"/>
        <rFont val="Times New Roman"/>
        <family val="1"/>
      </rPr>
      <t>Đoạn từ giáp cầu bê tông giáp doanh trại Bộ đội đến giáp xã Núa Ngam</t>
    </r>
  </si>
  <si>
    <r>
      <t>Đường vành đai phía Đông:</t>
    </r>
    <r>
      <rPr>
        <sz val="13"/>
        <rFont val="Times New Roman"/>
        <family val="1"/>
      </rPr>
      <t xml:space="preserve"> Đoạn từ giáp đất nhà ông Nguyễn Văn Tân đối diện là giáp đất nhà ông Cao Trọng Trường đến giáp xã Noong Hẹt</t>
    </r>
  </si>
  <si>
    <r>
      <t>Đường đi Pa Thơm:</t>
    </r>
    <r>
      <rPr>
        <sz val="13"/>
        <rFont val="Times New Roman"/>
        <family val="1"/>
      </rPr>
      <t xml:space="preserve"> Đoạn từ giáp xã Thanh Yên đến ngã tư UBND xã Noong Luống</t>
    </r>
  </si>
  <si>
    <r>
      <t xml:space="preserve">Đường đi Pa Thơm: </t>
    </r>
    <r>
      <rPr>
        <sz val="13"/>
        <rFont val="Times New Roman"/>
        <family val="1"/>
      </rPr>
      <t>Đoạn từ ngã tư qua UBND xã Noong Luống đi đội 7 đến hết đất nhà ông Đôi</t>
    </r>
  </si>
  <si>
    <r>
      <t>Đường đi Pa Thơm:</t>
    </r>
    <r>
      <rPr>
        <sz val="13"/>
        <rFont val="Times New Roman"/>
        <family val="1"/>
      </rPr>
      <t xml:space="preserve"> Đoạn từ giáp đất nhà ông Đôi đến hết đất nhà ông Pọm Đội 11.</t>
    </r>
  </si>
  <si>
    <r>
      <t>Đường đi U Va:</t>
    </r>
    <r>
      <rPr>
        <sz val="13"/>
        <rFont val="Times New Roman"/>
        <family val="1"/>
      </rPr>
      <t xml:space="preserve"> Đoạn từ ngã tư bản On đến hết nhà ông Thính Đội 20</t>
    </r>
  </si>
  <si>
    <r>
      <t xml:space="preserve">Đường đi U Va: </t>
    </r>
    <r>
      <rPr>
        <sz val="13"/>
        <rFont val="Times New Roman"/>
        <family val="1"/>
      </rPr>
      <t>Đoạn từ giáp nhà ông Thính đến ngã ba rẽ đi bản U Va</t>
    </r>
  </si>
  <si>
    <r>
      <t>QL 12:</t>
    </r>
    <r>
      <rPr>
        <sz val="13"/>
        <rFont val="Times New Roman"/>
        <family val="1"/>
      </rPr>
      <t xml:space="preserve"> Đoạn từ giáp thành phố Điện Biên Phủ đến đường rẽ vào Nghĩa trang Tông Khao</t>
    </r>
  </si>
  <si>
    <r>
      <t>QL 12</t>
    </r>
    <r>
      <rPr>
        <sz val="13"/>
        <rFont val="Times New Roman"/>
        <family val="1"/>
      </rPr>
      <t>: Đường rẽ vào Nghĩa trang Tông Khao đến hết nhà ông Lò Văn Tướng, đối diện là cổng vào bản Mển</t>
    </r>
  </si>
  <si>
    <r>
      <t>QL 12</t>
    </r>
    <r>
      <rPr>
        <sz val="13"/>
        <rFont val="Times New Roman"/>
        <family val="1"/>
      </rPr>
      <t>: Đoạn từ nhà ông Lò Văn Tướng, đối diện là cổng vào bản Mển đến hết địa phận Xã Thanh Nưa</t>
    </r>
  </si>
  <si>
    <r>
      <t>QL 12:</t>
    </r>
    <r>
      <rPr>
        <sz val="13"/>
        <rFont val="Times New Roman"/>
        <family val="1"/>
      </rPr>
      <t xml:space="preserve"> Đoạn từ giáp địa phận xã Thanh Nưa đến cầu xi măng bản Tâu.</t>
    </r>
  </si>
  <si>
    <r>
      <t>QL 12:</t>
    </r>
    <r>
      <rPr>
        <sz val="13"/>
        <rFont val="Times New Roman"/>
        <family val="1"/>
      </rPr>
      <t xml:space="preserve"> Đoạn từ cầu xi măng bản Tâu đến chân đèo Cò Chạy đối diện là suối Huổi Piếng</t>
    </r>
  </si>
  <si>
    <r>
      <t>QL 12:</t>
    </r>
    <r>
      <rPr>
        <sz val="13"/>
        <rFont val="Times New Roman"/>
        <family val="1"/>
      </rPr>
      <t xml:space="preserve"> Đoạn từ chân đèo Cò Chạy đối diện là suối Huổi Piếng đến giáp xã Mường Pồn</t>
    </r>
  </si>
  <si>
    <r>
      <t xml:space="preserve">Đường đi Hua Pe: </t>
    </r>
    <r>
      <rPr>
        <sz val="13"/>
        <rFont val="Times New Roman"/>
        <family val="1"/>
      </rPr>
      <t>Đoạn từ giáp thành phố Điện Biên Phủ đến trường tiểu học Thanh Luông</t>
    </r>
  </si>
  <si>
    <r>
      <rPr>
        <b/>
        <sz val="13"/>
        <rFont val="Times New Roman"/>
        <family val="1"/>
      </rPr>
      <t xml:space="preserve">Đường đi Hua Pe: </t>
    </r>
    <r>
      <rPr>
        <sz val="13"/>
        <rFont val="Times New Roman"/>
        <family val="1"/>
      </rPr>
      <t>Đoạn từ giáp sân bay thôn Cộng Hòa đến trường tiểu học Thanh Luông</t>
    </r>
  </si>
  <si>
    <r>
      <t xml:space="preserve">Đường đi Hua Pe: </t>
    </r>
    <r>
      <rPr>
        <sz val="13"/>
        <rFont val="Times New Roman"/>
        <family val="1"/>
      </rPr>
      <t>Đoạn từ trường tiểu học Thanh Luông đến ngã ba rẽ đi bản Noọng</t>
    </r>
  </si>
  <si>
    <r>
      <t xml:space="preserve">Đường đi Hua Pe: </t>
    </r>
    <r>
      <rPr>
        <sz val="13"/>
        <rFont val="Times New Roman"/>
        <family val="1"/>
      </rPr>
      <t>Đoạn từ trường tiểu học Thanh Luông đến ngã ba rẽ đi đội 11</t>
    </r>
  </si>
  <si>
    <r>
      <t xml:space="preserve">Đường đi Hua Pe: </t>
    </r>
    <r>
      <rPr>
        <sz val="13"/>
        <rFont val="Times New Roman"/>
        <family val="1"/>
      </rPr>
      <t>Đoạn từ ngã ba rẽ đi bản Noọng đến cầu chân đập hồ Hua Pe.</t>
    </r>
  </si>
  <si>
    <r>
      <t xml:space="preserve">Đường đi Hua Pe: </t>
    </r>
    <r>
      <rPr>
        <sz val="13"/>
        <rFont val="Times New Roman"/>
        <family val="1"/>
      </rPr>
      <t>Đoạn từ ngã ba rẽ đi đội 11 đến cầu chân đập hồ Pe Luông.</t>
    </r>
  </si>
  <si>
    <r>
      <t xml:space="preserve">Đường đi Hua Pe: </t>
    </r>
    <r>
      <rPr>
        <sz val="13"/>
        <rFont val="Times New Roman"/>
        <family val="1"/>
      </rPr>
      <t>Đoạn từ cầu chân đập hồ Hua Pe đến hết Đồn biên phòng Thanh Luông</t>
    </r>
  </si>
  <si>
    <r>
      <t xml:space="preserve">Đường đi Hua Pe: </t>
    </r>
    <r>
      <rPr>
        <sz val="13"/>
        <rFont val="Times New Roman"/>
        <family val="1"/>
      </rPr>
      <t>Đoạn từ cầu chân đập hồ Pe Luông đến hết Đồn biên phòng Thanh Luông</t>
    </r>
  </si>
  <si>
    <r>
      <t xml:space="preserve">Đường Lưu Viết Thoảng: </t>
    </r>
    <r>
      <rPr>
        <sz val="13"/>
        <rFont val="Times New Roman"/>
        <family val="1"/>
      </rPr>
      <t>Đoạn từ cầu C4 đến tiếp giáp ngã 4 đi xã Thanh Hưng (tiếp giáp đường QL 12 kéo dài)</t>
    </r>
  </si>
  <si>
    <r>
      <t>Đường ngã tư C4 đi Lếch Cuông</t>
    </r>
    <r>
      <rPr>
        <sz val="13"/>
        <rFont val="Times New Roman"/>
        <family val="1"/>
      </rPr>
      <t>: Đoạn tiếp giáp đất nhà ông Ngô Duy Thống đối diện là hết đất nhà bà Chén đến hết đội 20</t>
    </r>
  </si>
  <si>
    <r>
      <rPr>
        <b/>
        <sz val="13"/>
        <rFont val="Times New Roman"/>
        <family val="1"/>
      </rPr>
      <t>Đường ngã tư C4 đi Lếch Cuông</t>
    </r>
    <r>
      <rPr>
        <sz val="13"/>
        <rFont val="Times New Roman"/>
        <family val="1"/>
      </rPr>
      <t xml:space="preserve">: Đoạn tiếp giáp đất nhà ông Ngô Duy Thống đối diện là hết đất nhà bà Chén đến hết hết Thôn Thanh Chung
</t>
    </r>
  </si>
  <si>
    <r>
      <t>Đường ngã tư C4 đi Lếch Cuông</t>
    </r>
    <r>
      <rPr>
        <sz val="13"/>
        <rFont val="Times New Roman"/>
        <family val="1"/>
      </rPr>
      <t>: Đoạn tiếp giáp đội 20 đến đường rẽ vào bản Lếch Cang</t>
    </r>
  </si>
  <si>
    <r>
      <rPr>
        <b/>
        <sz val="13"/>
        <rFont val="Times New Roman"/>
        <family val="1"/>
      </rPr>
      <t>Đường ngã tư C4 đi Lếch Cuông</t>
    </r>
    <r>
      <rPr>
        <sz val="13"/>
        <rFont val="Times New Roman"/>
        <family val="1"/>
      </rPr>
      <t>: Đoạn tiếp giáp Thôn Thanh Chung đến đường rẽ vào bản Lếch Cang</t>
    </r>
  </si>
  <si>
    <r>
      <t>Khu trung tâm xã:</t>
    </r>
    <r>
      <rPr>
        <sz val="13"/>
        <rFont val="Times New Roman"/>
        <family val="1"/>
      </rPr>
      <t xml:space="preserve"> Đoạn đi qua UBND xã (trừ vị trí 1,2,3 đường ngã tư C4 đi Lếch Cuông và đường Tiểu đoàn cơ động đi UBND xã)</t>
    </r>
  </si>
  <si>
    <r>
      <rPr>
        <b/>
        <sz val="13"/>
        <rFont val="Times New Roman"/>
        <family val="1"/>
      </rPr>
      <t>Khu trung tâm xã</t>
    </r>
    <r>
      <rPr>
        <sz val="13"/>
        <rFont val="Times New Roman"/>
        <family val="1"/>
      </rPr>
      <t xml:space="preserve">: Đoạn đi qua UBND xã (trừ vị trí 1,2,3 đường ngã tư C4 đi Lếch Cuông và đường Bệnh viện 7/5 đi UBND xã)
</t>
    </r>
  </si>
  <si>
    <r>
      <t>Đường Tiểu đoàn cơ động đi UBND xã:</t>
    </r>
    <r>
      <rPr>
        <sz val="13"/>
        <rFont val="Times New Roman"/>
        <family val="1"/>
      </rPr>
      <t xml:space="preserve"> Đoạn tiếp giáp vị trí 3 đường Quốc lộ 12 kéo dài đến hết đội 19 (hết thửa số 133 tờ bản đồ 313-d, hết đất nhà ông Tâm)</t>
    </r>
  </si>
  <si>
    <r>
      <rPr>
        <b/>
        <sz val="13"/>
        <rFont val="Times New Roman"/>
        <family val="1"/>
      </rPr>
      <t>Đường Bệnh viện 7/5 đi UBND xã</t>
    </r>
    <r>
      <rPr>
        <sz val="13"/>
        <rFont val="Times New Roman"/>
        <family val="1"/>
      </rPr>
      <t>: Đoạn tiếp giáp vị trí 3 đường Quốc lộ 12 kéo dài đến hết thôn Thanh Xuân (đến ngã 3 hết đất ông Hà Văn Cân)</t>
    </r>
  </si>
  <si>
    <r>
      <t>Đường Tiểu đoàn cơ động đi UBND xã:</t>
    </r>
    <r>
      <rPr>
        <sz val="13"/>
        <rFont val="Times New Roman"/>
        <family val="1"/>
      </rPr>
      <t xml:space="preserve"> Đoạn tiếp giáp đội 19 qua ngã ba đội 6 +100 m</t>
    </r>
  </si>
  <si>
    <r>
      <t xml:space="preserve">Đường bệnh viện 7/5 đi UBND xã: </t>
    </r>
    <r>
      <rPr>
        <sz val="13"/>
        <rFont val="Times New Roman"/>
        <family val="1"/>
      </rPr>
      <t>Đoạn tiếp giáp thôn Thanh Xuân đến dưới kênh đại thủy nông</t>
    </r>
  </si>
  <si>
    <r>
      <t xml:space="preserve">Đường bệnh viện 7/5 đi UBND xã: </t>
    </r>
    <r>
      <rPr>
        <sz val="13"/>
        <rFont val="Times New Roman"/>
        <family val="1"/>
      </rPr>
      <t>Đoạn từ trên kênh đại thủy nông đến qua ngã ba Thôn Mỹ Hưng +100m</t>
    </r>
  </si>
  <si>
    <r>
      <t xml:space="preserve">QL 12 kéo dài: </t>
    </r>
    <r>
      <rPr>
        <sz val="13"/>
        <rFont val="Times New Roman"/>
        <family val="1"/>
      </rPr>
      <t>Đoạn từ giáp xã Thanh Hưng qua kho Vật tư nông nghiệp đến hết đất nhà ông Vân Nhất, đối diện là hết đất cửa hàng vật tư của ông Bạc.</t>
    </r>
  </si>
  <si>
    <r>
      <t>QL 12 kéo dài:</t>
    </r>
    <r>
      <rPr>
        <sz val="13"/>
        <rFont val="Times New Roman"/>
        <family val="1"/>
      </rPr>
      <t xml:space="preserve"> Đoạn tiếp từ cửa hàng vật tư của ông Bạc đến cầu Hoong Băng.</t>
    </r>
  </si>
  <si>
    <r>
      <t>QL 12 kéo dài:</t>
    </r>
    <r>
      <rPr>
        <sz val="13"/>
        <rFont val="Times New Roman"/>
        <family val="1"/>
      </rPr>
      <t xml:space="preserve"> Đoạn từ cầu Hoong Băng đến giáp xã Thanh Yên.</t>
    </r>
  </si>
  <si>
    <r>
      <t>Đường đi Thanh Hồng:</t>
    </r>
    <r>
      <rPr>
        <sz val="13"/>
        <rFont val="Times New Roman"/>
        <family val="1"/>
      </rPr>
      <t xml:space="preserve"> Đoạn từ ngã ba Co Mị qua ngã ba Thanh Hồng  theo 2 ngã đến kênh thuỷ nông.(trừ các vị trí 1,2,3 QL 12 kéo dài)</t>
    </r>
  </si>
  <si>
    <r>
      <t xml:space="preserve">Đường Ngã tư Pa Lếch đi UBND xã: </t>
    </r>
    <r>
      <rPr>
        <sz val="13"/>
        <rFont val="Times New Roman"/>
        <family val="1"/>
      </rPr>
      <t>Đoạn từ ngã tư Pa Lếch qua cổng UB xã qua kênh thuỷ nông đến hết đất nhà ông Thắng</t>
    </r>
  </si>
  <si>
    <r>
      <t xml:space="preserve">Đường Ngã tư Pa Lếch đi UBND xã: </t>
    </r>
    <r>
      <rPr>
        <sz val="13"/>
        <rFont val="Times New Roman"/>
        <family val="1"/>
      </rPr>
      <t>Đoạn tiếp giáp nhà ông Thắng đến hết đường nhựa (hết đất nhà ông Du)</t>
    </r>
  </si>
  <si>
    <r>
      <t>Đường đi Na Khưa:</t>
    </r>
    <r>
      <rPr>
        <sz val="13"/>
        <rFont val="Times New Roman"/>
        <family val="1"/>
      </rPr>
      <t xml:space="preserve"> Đoạn từ ngã ba đội 15,17 (trừ các vị trí 1,2,3 Quốc lộ 12 kéo dài) qua Na Khưa đến kênh thuỷ nông.</t>
    </r>
  </si>
  <si>
    <r>
      <t>Quốc lộ 12 kéo dài</t>
    </r>
    <r>
      <rPr>
        <sz val="13"/>
        <rFont val="Times New Roman"/>
        <family val="1"/>
      </rPr>
      <t>: Đoạn từ giáp xã Thanh Chăn hướng đi Noong Hẹt đến cầu Nậm Thanh (mới); hướng đi Noong Luống đến giáp địa phận xã Noong Luống (trừ khu trung tâm ngã tư Tiến Thanh).</t>
    </r>
  </si>
  <si>
    <r>
      <t xml:space="preserve">Khu ngã ba Noong Cống: </t>
    </r>
    <r>
      <rPr>
        <sz val="13"/>
        <rFont val="Times New Roman"/>
        <family val="1"/>
      </rPr>
      <t>Đoạn từ giáp ngã ba Noong Cống đến giáp cầu Nậm Thanh (cũ)</t>
    </r>
  </si>
  <si>
    <r>
      <t>Khu ngã tư Tiến Thanh:</t>
    </r>
    <r>
      <rPr>
        <sz val="13"/>
        <rFont val="Times New Roman"/>
        <family val="1"/>
      </rPr>
      <t xml:space="preserve"> Hướng về phía Tây hết đất nhà bà Phạm Thị Minh đội 2; hướng về phía Nam hết đất nhà ông Nguyễn Trọng Tám đối diện là nhà ông Nguyễn Xuân Quí; hướng về phía Đông đến cầu C9; hướng về phía Bắc hết đất nhà ông Nguyễn Trọng Dũng (giáp đường vào nhà ông Trần Văn Thường). </t>
    </r>
  </si>
  <si>
    <r>
      <t>Khu trung tâm xã:</t>
    </r>
    <r>
      <rPr>
        <sz val="13"/>
        <rFont val="Times New Roman"/>
        <family val="1"/>
      </rPr>
      <t xml:space="preserve">  Đoạn từ ngã tư về phía Bắc đến hết đất nhà ông Trần Văn Tới đối diện là nhà ông Đỗ Đức Kiềng; về phía Đông đến hết đất ông Trần Văn Sơn đối diện là đường rẽ vào trường TH số 1; về phía Tây đến hết đất nhà ông Nguyễn Văn Thắng; về phía Nam đến hết trường THCS; từ ngã rẽ đến hết trường mầm non số 1.</t>
    </r>
  </si>
  <si>
    <r>
      <t xml:space="preserve"> </t>
    </r>
    <r>
      <rPr>
        <b/>
        <sz val="13"/>
        <rFont val="Times New Roman"/>
        <family val="1"/>
      </rPr>
      <t>Đường đi ĐBĐ (QL12):</t>
    </r>
    <r>
      <rPr>
        <sz val="13"/>
        <rFont val="Times New Roman"/>
        <family val="1"/>
      </rPr>
      <t xml:space="preserve"> Đoạn từ giáp xã Sam Mứn đến cầu Phú Ngam</t>
    </r>
  </si>
  <si>
    <r>
      <t xml:space="preserve"> </t>
    </r>
    <r>
      <rPr>
        <b/>
        <sz val="13"/>
        <rFont val="Times New Roman"/>
        <family val="1"/>
      </rPr>
      <t>Đường đi ĐBĐ (QL12):</t>
    </r>
    <r>
      <rPr>
        <sz val="13"/>
        <rFont val="Times New Roman"/>
        <family val="1"/>
      </rPr>
      <t xml:space="preserve"> Đoạn từ cầu Phú Ngam đến cầu Pá Ngam 2</t>
    </r>
  </si>
  <si>
    <r>
      <rPr>
        <b/>
        <sz val="13"/>
        <rFont val="Times New Roman"/>
        <family val="1"/>
      </rPr>
      <t>Đường đi ĐBĐ (QL12):</t>
    </r>
    <r>
      <rPr>
        <sz val="13"/>
        <rFont val="Times New Roman"/>
        <family val="1"/>
      </rPr>
      <t xml:space="preserve"> Đoạn từ cầu Phú Ngam đến cầu Pá Ngam 2</t>
    </r>
  </si>
  <si>
    <r>
      <t xml:space="preserve"> </t>
    </r>
    <r>
      <rPr>
        <b/>
        <sz val="13"/>
        <rFont val="Times New Roman"/>
        <family val="1"/>
      </rPr>
      <t>Đường đi ĐBĐ (QL12):</t>
    </r>
    <r>
      <rPr>
        <sz val="13"/>
        <rFont val="Times New Roman"/>
        <family val="1"/>
      </rPr>
      <t xml:space="preserve"> Đoạn từ cầu Pá Ngam 2  đến cầu bản Tân Ngam giáp bản Pá Bông</t>
    </r>
  </si>
  <si>
    <r>
      <t xml:space="preserve"> </t>
    </r>
    <r>
      <rPr>
        <b/>
        <sz val="13"/>
        <rFont val="Times New Roman"/>
        <family val="1"/>
      </rPr>
      <t>Đường đi ĐBĐ (QL12):</t>
    </r>
    <r>
      <rPr>
        <sz val="13"/>
        <rFont val="Times New Roman"/>
        <family val="1"/>
      </rPr>
      <t xml:space="preserve"> Đoạn từ cầu bản Tân Ngam giáp bản Pá Bông đến giáp huyện Điện Biên Đông</t>
    </r>
  </si>
  <si>
    <r>
      <t>Đường đi Mường Lói (QL 279C):</t>
    </r>
    <r>
      <rPr>
        <sz val="13"/>
        <rFont val="Times New Roman"/>
        <family val="1"/>
      </rPr>
      <t xml:space="preserve"> Đoạn từ cầu Pá Ngam 1 đến Km 1</t>
    </r>
  </si>
  <si>
    <r>
      <t>Đường đi Mường Lói (QL 279C):</t>
    </r>
    <r>
      <rPr>
        <sz val="13"/>
        <rFont val="Times New Roman"/>
        <family val="1"/>
      </rPr>
      <t xml:space="preserve"> Đoạn từ  Km 1 đến giáp địa phận xã Hẹ Muông</t>
    </r>
  </si>
  <si>
    <r>
      <t>QL 279C:</t>
    </r>
    <r>
      <rPr>
        <sz val="13"/>
        <rFont val="Times New Roman"/>
        <family val="1"/>
      </rPr>
      <t xml:space="preserve"> Đoạn từ giáp xã Núa Ngam đến giáp đất Công ty cổ phần tinh bột Hồng Diệp</t>
    </r>
  </si>
  <si>
    <r>
      <t>QL 279C:</t>
    </r>
    <r>
      <rPr>
        <sz val="13"/>
        <rFont val="Times New Roman"/>
        <family val="1"/>
      </rPr>
      <t xml:space="preserve"> Đoạn từ đất Công ty cổ phần tinh bột Hồng Diệp đến hết đất nhà ông Quàng Văn Sương bản Công Binh</t>
    </r>
  </si>
  <si>
    <r>
      <t>QL 279C:</t>
    </r>
    <r>
      <rPr>
        <sz val="13"/>
        <rFont val="Times New Roman"/>
        <family val="1"/>
      </rPr>
      <t xml:space="preserve"> Đoạn từ đất nhà ông Quàng Văn Sương bản Công Binh đến giáp xã Na Tông</t>
    </r>
  </si>
  <si>
    <r>
      <t>QL279C</t>
    </r>
    <r>
      <rPr>
        <sz val="13"/>
        <rFont val="Times New Roman"/>
        <family val="1"/>
      </rPr>
      <t>: Đoạn từ giáp xã Hẹ Muông đến suối ranh giới giữa Pa Kín với Na Tông I</t>
    </r>
  </si>
  <si>
    <r>
      <t>QL279C:</t>
    </r>
    <r>
      <rPr>
        <sz val="13"/>
        <rFont val="Times New Roman"/>
        <family val="1"/>
      </rPr>
      <t xml:space="preserve"> Đoạn từ suối ranh giới giữa Pa Kín với Na Tông I đến hết đất nhà bà Lường Thị Yên bản Na Tông II</t>
    </r>
  </si>
  <si>
    <r>
      <t>QL279C</t>
    </r>
    <r>
      <rPr>
        <sz val="13"/>
        <rFont val="Times New Roman"/>
        <family val="1"/>
      </rPr>
      <t>: Đoạn từ giáp đất nhà bà Lường Thị Yên bản Na Tông II đến hết đất nhà ông Lò Văn Phong bản Na Ố</t>
    </r>
  </si>
  <si>
    <r>
      <t>QL279C</t>
    </r>
    <r>
      <rPr>
        <sz val="13"/>
        <rFont val="Times New Roman"/>
        <family val="1"/>
      </rPr>
      <t>: Đoạn từ giáp đất quán ông Lò Văn Phong bản Na Ố đến giáp xã Mường Nhà</t>
    </r>
  </si>
  <si>
    <r>
      <t>QL279C</t>
    </r>
    <r>
      <rPr>
        <sz val="13"/>
        <rFont val="Times New Roman"/>
        <family val="1"/>
      </rPr>
      <t>: Đoạn từ giáp xã Na Tông đến đường rẽ lên bản Na Ố</t>
    </r>
  </si>
  <si>
    <r>
      <t>QL279C</t>
    </r>
    <r>
      <rPr>
        <sz val="13"/>
        <rFont val="Times New Roman"/>
        <family val="1"/>
      </rPr>
      <t>: Đoạn từ đường rẽ lên bản Na Ố đến cầu Na Phay (đường đôi)</t>
    </r>
  </si>
  <si>
    <r>
      <t>QL279C</t>
    </r>
    <r>
      <rPr>
        <sz val="13"/>
        <rFont val="Times New Roman"/>
        <family val="1"/>
      </rPr>
      <t>: Đoạn từ Cầu Na Phay đến cầu Huổi Lếch (Đường đôi)</t>
    </r>
  </si>
  <si>
    <r>
      <t>QL279C</t>
    </r>
    <r>
      <rPr>
        <sz val="13"/>
        <rFont val="Times New Roman"/>
        <family val="1"/>
      </rPr>
      <t>: Đoạn từ cầu Huổi Lếch đến phai tạm Na Hôm</t>
    </r>
  </si>
  <si>
    <r>
      <t>QL279C</t>
    </r>
    <r>
      <rPr>
        <sz val="13"/>
        <rFont val="Times New Roman"/>
        <family val="1"/>
      </rPr>
      <t>: Đoạn từ phai tạm Na Hôm đến giáp xã Phu Luông</t>
    </r>
  </si>
  <si>
    <r>
      <t>QL 12:</t>
    </r>
    <r>
      <rPr>
        <sz val="13"/>
        <rFont val="Times New Roman"/>
        <family val="1"/>
      </rPr>
      <t xml:space="preserve"> Đoạn từ giáp xã Hua Thanh đến đất nhà ông Thanh Dạ (bản Co Chạy)</t>
    </r>
  </si>
  <si>
    <r>
      <t>QL 12:</t>
    </r>
    <r>
      <rPr>
        <sz val="13"/>
        <rFont val="Times New Roman"/>
        <family val="1"/>
      </rPr>
      <t xml:space="preserve"> Đoạn từ hết đất nhà ông Thanh Dạ (bản Co Chạy) đến hết đất dân cư bản Lĩnh</t>
    </r>
  </si>
  <si>
    <r>
      <t>QL 12:</t>
    </r>
    <r>
      <rPr>
        <sz val="13"/>
        <rFont val="Times New Roman"/>
        <family val="1"/>
      </rPr>
      <t xml:space="preserve"> Đoạn từ giáp đất dân cư bản Lĩnh đến giáp xã Mường Mươn, huyện Mường Chà</t>
    </r>
  </si>
  <si>
    <r>
      <t xml:space="preserve">QL 279C: </t>
    </r>
    <r>
      <rPr>
        <sz val="13"/>
        <rFont val="Times New Roman"/>
        <family val="1"/>
      </rPr>
      <t>Đoạn từ giáp xã Mường Nhà đến cầu bản Xôm (Giáp đất nhà ông Biên)</t>
    </r>
  </si>
  <si>
    <r>
      <t xml:space="preserve">QL 279C: </t>
    </r>
    <r>
      <rPr>
        <sz val="13"/>
        <rFont val="Times New Roman"/>
        <family val="1"/>
      </rPr>
      <t>Đoạn từ cầu bản Xôm (đất nhà ông Biên) đến cầu bản Xẻ 1 (nhà ông Điện)</t>
    </r>
  </si>
  <si>
    <r>
      <t xml:space="preserve">QL 279C: </t>
    </r>
    <r>
      <rPr>
        <sz val="13"/>
        <rFont val="Times New Roman"/>
        <family val="1"/>
      </rPr>
      <t>Đoạn từ cầu bản Xẻ 1 (nhà ông Điện) đến trường THCS Phu Luông (đầu đường đôi)</t>
    </r>
  </si>
  <si>
    <r>
      <t xml:space="preserve">QL 279C: </t>
    </r>
    <r>
      <rPr>
        <sz val="13"/>
        <rFont val="Times New Roman"/>
        <family val="1"/>
      </rPr>
      <t>Đoạn đường đôi từ trường Trung học cơ sở Phu Luông đến Cầu Na Há 2</t>
    </r>
  </si>
  <si>
    <r>
      <t xml:space="preserve">QL 279C: </t>
    </r>
    <r>
      <rPr>
        <sz val="13"/>
        <rFont val="Times New Roman"/>
        <family val="1"/>
      </rPr>
      <t>Đoạn từ Cầu Na Há 2 đến hết địa phận xã Phu Luông.</t>
    </r>
  </si>
  <si>
    <r>
      <t xml:space="preserve">QL 279C: </t>
    </r>
    <r>
      <rPr>
        <sz val="13"/>
        <rFont val="Times New Roman"/>
        <family val="1"/>
      </rPr>
      <t>Đoạn từ giáp địa phận xã Phu Luông đến giáp Đồn Biên phòng 433</t>
    </r>
  </si>
  <si>
    <r>
      <t xml:space="preserve">QL 279C: </t>
    </r>
    <r>
      <rPr>
        <sz val="13"/>
        <rFont val="Times New Roman"/>
        <family val="1"/>
      </rPr>
      <t>Đoạn từ đất  Đồn Biên phòng 433 đến ngã 3 đi Sơn La</t>
    </r>
  </si>
  <si>
    <r>
      <t xml:space="preserve">QL 279C: </t>
    </r>
    <r>
      <rPr>
        <sz val="13"/>
        <rFont val="Times New Roman"/>
        <family val="1"/>
      </rPr>
      <t>Đoạn từ ngã 3 đi Sơn La đến ngầm suối Huổi Na</t>
    </r>
  </si>
  <si>
    <r>
      <t xml:space="preserve">QL 279C: </t>
    </r>
    <r>
      <rPr>
        <sz val="13"/>
        <rFont val="Times New Roman"/>
        <family val="1"/>
      </rPr>
      <t>Đoạn từ  ngầm suối Huổi Na đến giáp ranh giới Việt Nam - Lào</t>
    </r>
  </si>
  <si>
    <r>
      <t xml:space="preserve">Đường đi Xốp Cộp Sơn La: </t>
    </r>
    <r>
      <rPr>
        <sz val="13"/>
        <rFont val="Times New Roman"/>
        <family val="1"/>
      </rPr>
      <t>Đoạn từ ngã 3 Sơn La đến hết khu dân cư bản Lói</t>
    </r>
  </si>
  <si>
    <r>
      <t xml:space="preserve">Đường đi Xốp Cộp Sơn La: </t>
    </r>
    <r>
      <rPr>
        <sz val="13"/>
        <rFont val="Times New Roman"/>
        <family val="1"/>
      </rPr>
      <t>Đoạn từ giáp khu dân cư bản Lói đến giáp Xốp Cộp - Sơn La</t>
    </r>
  </si>
  <si>
    <r>
      <t>QL 279:</t>
    </r>
    <r>
      <rPr>
        <sz val="13"/>
        <rFont val="Times New Roman"/>
        <family val="1"/>
      </rPr>
      <t xml:space="preserve"> Đoạn từ giáp xã Pom Lót đến biên giới Việt Nam - Lào</t>
    </r>
  </si>
  <si>
    <r>
      <t xml:space="preserve">Đường vào trung tâm xã: </t>
    </r>
    <r>
      <rPr>
        <sz val="13"/>
        <rFont val="Times New Roman"/>
        <family val="1"/>
      </rPr>
      <t>Đoạn từ hết vị trí 3 QL 279 đến cống bê tông (đầu bản Na Ư)</t>
    </r>
  </si>
  <si>
    <r>
      <t xml:space="preserve">Khu trung tâm xã: </t>
    </r>
    <r>
      <rPr>
        <sz val="13"/>
        <rFont val="Times New Roman"/>
        <family val="1"/>
      </rPr>
      <t>Đoạn từ cống bê tông (đầu bản Na Ư) đi vào bản đến mương bê tông (hết Trường Mầm non); ngã rẽ đi Púng Bửa đến đỉnh Yên ngựa cây me</t>
    </r>
  </si>
  <si>
    <t>Đường nội bộ 13m (Lô LK2 + LK3 + LK15 + LK16 + LK17 + LK18 + LK19 + LK21)</t>
  </si>
  <si>
    <r>
      <t>ĐVT: 1.000 đồng/m</t>
    </r>
    <r>
      <rPr>
        <i/>
        <vertAlign val="superscript"/>
        <sz val="13"/>
        <rFont val="Times New Roman"/>
        <family val="1"/>
      </rPr>
      <t>2</t>
    </r>
  </si>
  <si>
    <t>a</t>
  </si>
  <si>
    <t>b</t>
  </si>
  <si>
    <t>c</t>
  </si>
  <si>
    <t>d</t>
  </si>
  <si>
    <t>đ</t>
  </si>
  <si>
    <t>e</t>
  </si>
  <si>
    <t>g</t>
  </si>
  <si>
    <t>h</t>
  </si>
  <si>
    <t>i</t>
  </si>
  <si>
    <t>5.8</t>
  </si>
  <si>
    <t>5.9</t>
  </si>
  <si>
    <r>
      <t>QL12 :</t>
    </r>
    <r>
      <rPr>
        <sz val="13"/>
        <rFont val="Times New Roman"/>
        <family val="1"/>
      </rPr>
      <t xml:space="preserve"> Đoạn từ giáp thành phố Điện Biên Phủ đến giáp Thanh Chăn (trừ khu trung tâm ngã tư C4)</t>
    </r>
  </si>
  <si>
    <r>
      <t>QL12 :</t>
    </r>
    <r>
      <rPr>
        <sz val="13"/>
        <rFont val="Times New Roman"/>
        <family val="1"/>
      </rPr>
      <t xml:space="preserve"> Đoạn từ giáp thành phố Điện Biên Phủ đến giáp khu trung tâm ngã tư C4</t>
    </r>
  </si>
  <si>
    <r>
      <t>Khu trung tâm ngã tư C4:</t>
    </r>
    <r>
      <rPr>
        <sz val="13"/>
        <rFont val="Times New Roman"/>
        <family val="1"/>
      </rPr>
      <t xml:space="preserve"> Về phía Bắc hết đất nhà ông Bùi Cương đối diện là bà Uyên; về phía Đông đến cầu treo C4; về phía Tây hết đất nhà bà Chén đối diện là nhà ông Ngô Duy Thống; về phía Nam hết đất nhà ông Nguyễn Đức Lời đối diện là nhà ông Tuyết Minh</t>
    </r>
  </si>
  <si>
    <r>
      <t>Khu trung tâm ngã tư C4:</t>
    </r>
    <r>
      <rPr>
        <sz val="13"/>
        <rFont val="Times New Roman"/>
        <family val="1"/>
      </rPr>
      <t xml:space="preserve"> Về phía Tây hết đất nhà bà Chén đối diện là nhà ông Ngô Duy Thống; về phía Nam hết đất nhà ông Nguyễn Đức Lời đối diện là nhà ông Tuyết Minh</t>
    </r>
  </si>
  <si>
    <t xml:space="preserve">PHỤ LỤC V: BẢNG GIÁ ĐẤT SẢN XUẤT KINH DOANH PHI NÔNG NGHIỆP KHÔNG PHẢI LÀ ĐẤT THƯƠNG MẠI, DỊCH VỤ TẠI NÔNG THÔN (bao gồm đất khu công nghiệp, cụm công nghiệp; đất cơ sở sản xuất phi nông nghiệp; đất sử dụng cho hoạt động khoáng sản) </t>
  </si>
  <si>
    <t>1. THÀNH PHỐ ĐIỆN BIÊN PHỦ</t>
  </si>
  <si>
    <t>2. HUYỆN ĐIỆN BIÊN</t>
  </si>
  <si>
    <t>3. HUYỆN ĐIỆN BIÊN ĐÔNG</t>
  </si>
  <si>
    <t>4. HUYỆN MƯỜNG ẢNG</t>
  </si>
  <si>
    <t>5. HUYỆN TUẦN GIÁO</t>
  </si>
  <si>
    <t>6. HUYỆN MƯỜNG NHÉ</t>
  </si>
  <si>
    <t>7. HUYỆN MƯỜNG CHÀ</t>
  </si>
  <si>
    <t>8. HUYỆN NẬM PỒ</t>
  </si>
  <si>
    <t>9. HUYỆN TỦA CHÙA</t>
  </si>
  <si>
    <t>10. THỊ XÃ MƯỜNG LAY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</si>
</sst>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_(* #,##0_);_(* \(#,##0\);_(* &quot;-&quot;??_);_(@_)"/>
    <numFmt numFmtId="166" formatCode="#,##0;[Red]#,##0"/>
    <numFmt numFmtId="167" formatCode="0.0%"/>
    <numFmt numFmtId="168" formatCode="_(* #,##0.000_);_(* \(#,##0.000\);_(* &quot;-&quot;??_);_(@_)"/>
    <numFmt numFmtId="169" formatCode="0.0"/>
  </numFmts>
  <fonts count="22" x14ac:knownFonts="1">
    <font>
      <sz val="11"/>
      <color theme="1"/>
      <name val="Calibri"/>
      <family val="2"/>
      <scheme val="minor"/>
    </font>
    <font>
      <sz val="14"/>
      <color theme="1"/>
      <name val="Times New Roman"/>
      <family val="2"/>
      <charset val="163"/>
    </font>
    <font>
      <sz val="10"/>
      <name val="Arial"/>
      <family val="2"/>
    </font>
    <font>
      <b/>
      <sz val="14"/>
      <name val="Times New Roman"/>
      <family val="1"/>
    </font>
    <font>
      <sz val="14"/>
      <name val="Times New Roman"/>
      <family val="1"/>
    </font>
    <font>
      <sz val="12"/>
      <name val="Times New Roman"/>
      <family val="1"/>
    </font>
    <font>
      <b/>
      <sz val="12"/>
      <name val="Times New Roman"/>
      <family val="1"/>
    </font>
    <font>
      <i/>
      <sz val="12"/>
      <name val="Times New Roman"/>
      <family val="1"/>
    </font>
    <font>
      <sz val="13"/>
      <name val="Times New Roman"/>
      <family val="1"/>
    </font>
    <font>
      <sz val="12"/>
      <color rgb="FFFF0000"/>
      <name val="Times New Roman"/>
      <family val="1"/>
    </font>
    <font>
      <b/>
      <sz val="13"/>
      <name val="Times New Roman"/>
      <family val="1"/>
    </font>
    <font>
      <i/>
      <sz val="13"/>
      <name val="Times New Roman"/>
      <family val="1"/>
    </font>
    <font>
      <i/>
      <sz val="14"/>
      <name val="Times New Roman"/>
      <family val="1"/>
    </font>
    <font>
      <sz val="13"/>
      <color theme="1"/>
      <name val="Times New Roman"/>
      <family val="1"/>
    </font>
    <font>
      <sz val="11"/>
      <name val="Times New Roman"/>
      <family val="1"/>
    </font>
    <font>
      <sz val="11"/>
      <color rgb="FFFF0000"/>
      <name val="Times New Roman"/>
      <family val="1"/>
    </font>
    <font>
      <sz val="14"/>
      <name val=".VnTime"/>
      <family val="2"/>
    </font>
    <font>
      <i/>
      <sz val="13"/>
      <color theme="1"/>
      <name val="Times New Roman"/>
      <family val="1"/>
    </font>
    <font>
      <sz val="11"/>
      <color theme="1"/>
      <name val="Calibri"/>
      <family val="2"/>
      <scheme val="minor"/>
    </font>
    <font>
      <sz val="11"/>
      <name val="Calibri"/>
      <family val="2"/>
      <scheme val="minor"/>
    </font>
    <font>
      <i/>
      <vertAlign val="superscript"/>
      <sz val="13"/>
      <name val="Times New Roman"/>
      <family val="1"/>
    </font>
    <font>
      <sz val="13"/>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5" fillId="0" borderId="0" applyFont="0" applyFill="0" applyBorder="0" applyAlignment="0" applyProtection="0"/>
    <xf numFmtId="0" fontId="16" fillId="0" borderId="0"/>
    <xf numFmtId="164" fontId="18" fillId="0" borderId="0" applyFont="0" applyFill="0" applyBorder="0" applyAlignment="0" applyProtection="0"/>
    <xf numFmtId="9" fontId="16" fillId="0" borderId="0" applyFont="0" applyFill="0" applyBorder="0" applyAlignment="0" applyProtection="0"/>
    <xf numFmtId="0" fontId="16" fillId="0" borderId="0"/>
    <xf numFmtId="9" fontId="5" fillId="0" borderId="0" applyFont="0" applyFill="0" applyBorder="0" applyAlignment="0" applyProtection="0"/>
  </cellStyleXfs>
  <cellXfs count="278">
    <xf numFmtId="0" fontId="0" fillId="0" borderId="0" xfId="0"/>
    <xf numFmtId="0" fontId="14" fillId="0" borderId="0" xfId="0" applyFont="1"/>
    <xf numFmtId="0" fontId="15" fillId="0" borderId="0" xfId="0" applyFont="1"/>
    <xf numFmtId="0" fontId="13" fillId="0" borderId="0" xfId="11" applyFont="1"/>
    <xf numFmtId="0" fontId="13" fillId="2" borderId="0" xfId="11" applyFont="1" applyFill="1"/>
    <xf numFmtId="0" fontId="8" fillId="0" borderId="0" xfId="11" applyFont="1"/>
    <xf numFmtId="0" fontId="17" fillId="2" borderId="0" xfId="11" applyFont="1" applyFill="1" applyAlignment="1">
      <alignment horizontal="left"/>
    </xf>
    <xf numFmtId="165" fontId="5" fillId="0" borderId="0" xfId="3" applyNumberFormat="1" applyFont="1" applyFill="1" applyAlignment="1">
      <alignment horizontal="center" vertical="center" wrapText="1"/>
    </xf>
    <xf numFmtId="43" fontId="5" fillId="0" borderId="0" xfId="3" applyFont="1" applyFill="1" applyBorder="1" applyAlignment="1">
      <alignment horizontal="left" vertical="center" wrapText="1"/>
    </xf>
    <xf numFmtId="0" fontId="10" fillId="0" borderId="1" xfId="11" applyFont="1" applyBorder="1" applyAlignment="1">
      <alignment horizontal="center" vertical="center"/>
    </xf>
    <xf numFmtId="0" fontId="10" fillId="0" borderId="1" xfId="11" applyFont="1" applyBorder="1" applyAlignment="1">
      <alignment horizontal="left" vertical="center"/>
    </xf>
    <xf numFmtId="0" fontId="10" fillId="0" borderId="1" xfId="11" applyFont="1" applyBorder="1" applyAlignment="1">
      <alignment horizontal="center" vertical="center" wrapText="1"/>
    </xf>
    <xf numFmtId="0" fontId="10" fillId="0" borderId="1" xfId="11" applyFont="1" applyBorder="1" applyAlignment="1">
      <alignment vertical="center" wrapText="1"/>
    </xf>
    <xf numFmtId="0" fontId="8" fillId="0" borderId="1" xfId="11" applyFont="1" applyBorder="1" applyAlignment="1">
      <alignment horizontal="center" vertical="center"/>
    </xf>
    <xf numFmtId="0" fontId="8" fillId="0" borderId="1" xfId="11" applyFont="1" applyBorder="1" applyAlignment="1">
      <alignment horizontal="left" vertical="center" wrapText="1"/>
    </xf>
    <xf numFmtId="0" fontId="8" fillId="0" borderId="1" xfId="11" applyFont="1" applyBorder="1" applyAlignment="1">
      <alignment horizontal="right" vertical="center"/>
    </xf>
    <xf numFmtId="1" fontId="8" fillId="0" borderId="1" xfId="11" applyNumberFormat="1" applyFont="1" applyBorder="1" applyAlignment="1">
      <alignment vertical="center"/>
    </xf>
    <xf numFmtId="1" fontId="8" fillId="0" borderId="1" xfId="11" applyNumberFormat="1" applyFont="1" applyBorder="1" applyAlignment="1">
      <alignment horizontal="right" vertical="center"/>
    </xf>
    <xf numFmtId="0" fontId="8" fillId="0" borderId="1" xfId="11" applyFont="1" applyBorder="1" applyAlignment="1">
      <alignment horizontal="left" vertical="center"/>
    </xf>
    <xf numFmtId="0" fontId="8" fillId="0" borderId="1" xfId="11" applyFont="1" applyBorder="1" applyAlignment="1">
      <alignment vertical="center" wrapText="1"/>
    </xf>
    <xf numFmtId="0" fontId="14" fillId="0" borderId="0" xfId="0" applyFont="1" applyAlignment="1">
      <alignment horizontal="center" vertical="center"/>
    </xf>
    <xf numFmtId="0" fontId="14"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9"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5" fillId="0" borderId="0" xfId="0" applyFont="1"/>
    <xf numFmtId="43" fontId="5" fillId="0" borderId="0" xfId="0" applyNumberFormat="1" applyFont="1"/>
    <xf numFmtId="2" fontId="5" fillId="0" borderId="0" xfId="0" applyNumberFormat="1" applyFont="1"/>
    <xf numFmtId="168" fontId="5" fillId="0" borderId="0" xfId="0" applyNumberFormat="1" applyFont="1"/>
    <xf numFmtId="3" fontId="5" fillId="0" borderId="0" xfId="0" applyNumberFormat="1" applyFont="1" applyAlignment="1">
      <alignment horizontal="center" vertical="center" wrapText="1"/>
    </xf>
    <xf numFmtId="165" fontId="5" fillId="0" borderId="0" xfId="0" applyNumberFormat="1" applyFont="1"/>
    <xf numFmtId="169" fontId="5" fillId="0" borderId="0" xfId="0" applyNumberFormat="1" applyFont="1"/>
    <xf numFmtId="165" fontId="5" fillId="0" borderId="0" xfId="0" applyNumberFormat="1" applyFont="1" applyAlignment="1">
      <alignment wrapText="1"/>
    </xf>
    <xf numFmtId="0" fontId="4" fillId="0" borderId="0" xfId="0" applyFont="1" applyAlignment="1">
      <alignment horizontal="center"/>
    </xf>
    <xf numFmtId="165" fontId="5" fillId="0" borderId="7" xfId="12" applyNumberFormat="1" applyFont="1" applyFill="1" applyBorder="1" applyAlignment="1">
      <alignment horizontal="right" vertical="center" wrapText="1"/>
    </xf>
    <xf numFmtId="0" fontId="5" fillId="0" borderId="0" xfId="4" applyFont="1" applyAlignment="1">
      <alignment horizontal="center" vertical="center" wrapText="1"/>
    </xf>
    <xf numFmtId="0" fontId="5" fillId="0" borderId="0" xfId="4" applyFont="1" applyAlignment="1">
      <alignment horizontal="left" vertical="center" wrapText="1"/>
    </xf>
    <xf numFmtId="3" fontId="8" fillId="0" borderId="1" xfId="3" applyNumberFormat="1" applyFont="1" applyFill="1" applyBorder="1" applyAlignment="1">
      <alignment horizontal="center" vertical="center" wrapText="1"/>
    </xf>
    <xf numFmtId="0" fontId="3" fillId="0" borderId="0" xfId="2" applyFont="1"/>
    <xf numFmtId="0" fontId="6" fillId="0" borderId="0" xfId="0" applyFont="1" applyAlignment="1">
      <alignment horizontal="center"/>
    </xf>
    <xf numFmtId="0" fontId="6" fillId="0" borderId="0" xfId="0" applyFont="1"/>
    <xf numFmtId="0" fontId="5" fillId="0" borderId="7" xfId="0" applyFont="1" applyBorder="1" applyAlignment="1">
      <alignment horizontal="center" vertical="center" wrapText="1"/>
    </xf>
    <xf numFmtId="0" fontId="5" fillId="0" borderId="7" xfId="0" applyFont="1" applyBorder="1" applyAlignment="1">
      <alignment vertical="center" wrapText="1"/>
    </xf>
    <xf numFmtId="3" fontId="5" fillId="0" borderId="7" xfId="0" applyNumberFormat="1" applyFont="1" applyBorder="1" applyAlignment="1">
      <alignment horizontal="right" vertical="center" wrapText="1"/>
    </xf>
    <xf numFmtId="167" fontId="5" fillId="0" borderId="0" xfId="0" applyNumberFormat="1" applyFont="1"/>
    <xf numFmtId="9" fontId="5" fillId="0" borderId="0" xfId="0" applyNumberFormat="1" applyFont="1"/>
    <xf numFmtId="1" fontId="5" fillId="0" borderId="0" xfId="0" applyNumberFormat="1" applyFont="1"/>
    <xf numFmtId="0" fontId="5" fillId="0" borderId="0" xfId="0" applyFont="1" applyAlignment="1">
      <alignment horizontal="center" vertical="center"/>
    </xf>
    <xf numFmtId="0" fontId="19" fillId="0" borderId="0" xfId="0" applyFont="1"/>
    <xf numFmtId="0" fontId="10" fillId="0" borderId="0" xfId="2" applyFont="1" applyAlignment="1">
      <alignment horizontal="left" vertical="center" wrapText="1"/>
    </xf>
    <xf numFmtId="0" fontId="11" fillId="0" borderId="0" xfId="2" applyFont="1" applyAlignment="1">
      <alignment horizontal="left" vertical="center" wrapText="1"/>
    </xf>
    <xf numFmtId="0" fontId="10" fillId="0" borderId="0" xfId="0" applyFont="1" applyAlignment="1">
      <alignment vertical="center"/>
    </xf>
    <xf numFmtId="0" fontId="8" fillId="0" borderId="0" xfId="0" applyFont="1"/>
    <xf numFmtId="0" fontId="10" fillId="0" borderId="0" xfId="0" applyFont="1" applyAlignment="1">
      <alignment horizontal="left" vertical="center" wrapText="1"/>
    </xf>
    <xf numFmtId="0" fontId="10" fillId="0" borderId="5"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165" fontId="8"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0" fillId="0" borderId="1" xfId="2" applyFont="1" applyBorder="1" applyAlignment="1">
      <alignment horizontal="center" vertical="center"/>
    </xf>
    <xf numFmtId="0" fontId="10" fillId="0" borderId="1" xfId="2" applyFont="1" applyBorder="1" applyAlignment="1">
      <alignment horizontal="left" vertical="center" wrapText="1"/>
    </xf>
    <xf numFmtId="0" fontId="8" fillId="0" borderId="1" xfId="2" applyFont="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center" vertical="center" wrapText="1"/>
    </xf>
    <xf numFmtId="3" fontId="8" fillId="0" borderId="1" xfId="0" applyNumberFormat="1" applyFont="1" applyBorder="1" applyAlignment="1">
      <alignment horizontal="center" vertical="center" wrapText="1"/>
    </xf>
    <xf numFmtId="165" fontId="8" fillId="0" borderId="1" xfId="3" applyNumberFormat="1" applyFont="1" applyFill="1" applyBorder="1" applyAlignment="1">
      <alignment horizontal="center" vertical="center" wrapText="1"/>
    </xf>
    <xf numFmtId="165" fontId="8" fillId="0" borderId="1" xfId="0" applyNumberFormat="1" applyFont="1" applyBorder="1" applyAlignment="1">
      <alignment horizontal="center" wrapText="1"/>
    </xf>
    <xf numFmtId="0" fontId="10" fillId="0" borderId="1"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5" xfId="0" applyFont="1" applyBorder="1" applyAlignment="1">
      <alignment vertical="center" wrapText="1"/>
    </xf>
    <xf numFmtId="0" fontId="10" fillId="0" borderId="0" xfId="0" applyFont="1" applyAlignment="1">
      <alignment horizontal="center" vertical="center" wrapText="1"/>
    </xf>
    <xf numFmtId="9" fontId="10" fillId="0" borderId="0" xfId="0" applyNumberFormat="1" applyFont="1" applyAlignment="1">
      <alignment horizontal="center" vertical="center" wrapText="1"/>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3" fontId="8" fillId="0" borderId="1" xfId="0" applyNumberFormat="1" applyFont="1" applyBorder="1" applyAlignment="1">
      <alignment vertical="center" wrapText="1"/>
    </xf>
    <xf numFmtId="0" fontId="8" fillId="0" borderId="1" xfId="0" applyFont="1" applyBorder="1" applyAlignment="1">
      <alignment vertical="center" wrapText="1"/>
    </xf>
    <xf numFmtId="3" fontId="8" fillId="0" borderId="1" xfId="0" applyNumberFormat="1" applyFont="1" applyBorder="1" applyAlignment="1">
      <alignment horizontal="right" vertical="center" wrapText="1"/>
    </xf>
    <xf numFmtId="0" fontId="10"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1" xfId="0" applyFont="1" applyBorder="1" applyAlignment="1">
      <alignment horizontal="right" vertical="center" wrapText="1"/>
    </xf>
    <xf numFmtId="0" fontId="8" fillId="0" borderId="1" xfId="0" applyFont="1" applyBorder="1"/>
    <xf numFmtId="0" fontId="8" fillId="0" borderId="1" xfId="0" applyFont="1" applyBorder="1" applyAlignment="1">
      <alignment horizontal="left" vertical="top" wrapText="1"/>
    </xf>
    <xf numFmtId="3" fontId="8" fillId="0" borderId="2" xfId="0" applyNumberFormat="1" applyFont="1" applyBorder="1" applyAlignment="1">
      <alignment vertical="center" wrapText="1"/>
    </xf>
    <xf numFmtId="3" fontId="8" fillId="0" borderId="3" xfId="0" applyNumberFormat="1" applyFont="1" applyBorder="1" applyAlignment="1">
      <alignment vertical="center" wrapText="1"/>
    </xf>
    <xf numFmtId="3" fontId="8" fillId="0" borderId="4" xfId="0" applyNumberFormat="1" applyFont="1" applyBorder="1" applyAlignment="1">
      <alignment vertical="center" wrapText="1"/>
    </xf>
    <xf numFmtId="3" fontId="8" fillId="0" borderId="6" xfId="0" applyNumberFormat="1" applyFont="1" applyBorder="1" applyAlignment="1">
      <alignment vertical="center" wrapText="1"/>
    </xf>
    <xf numFmtId="3" fontId="8" fillId="0" borderId="6" xfId="0" applyNumberFormat="1" applyFont="1" applyBorder="1" applyAlignment="1">
      <alignment horizontal="right" vertical="center" wrapText="1"/>
    </xf>
    <xf numFmtId="0" fontId="8" fillId="2" borderId="1" xfId="0" applyFont="1" applyFill="1" applyBorder="1" applyAlignment="1">
      <alignment horizontal="left" vertical="top" wrapText="1"/>
    </xf>
    <xf numFmtId="3" fontId="8" fillId="2"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3" fontId="10" fillId="0" borderId="1" xfId="0" applyNumberFormat="1" applyFont="1" applyBorder="1" applyAlignment="1">
      <alignment vertical="center" wrapText="1"/>
    </xf>
    <xf numFmtId="2" fontId="10" fillId="0" borderId="1" xfId="0" applyNumberFormat="1" applyFont="1" applyBorder="1" applyAlignment="1">
      <alignment horizontal="left" vertical="center" wrapText="1"/>
    </xf>
    <xf numFmtId="0" fontId="8" fillId="0" borderId="0" xfId="4" applyFont="1" applyAlignment="1">
      <alignment horizontal="center" vertical="center" wrapText="1"/>
    </xf>
    <xf numFmtId="0" fontId="10" fillId="0" borderId="5" xfId="4" applyFont="1" applyBorder="1" applyAlignment="1">
      <alignment horizontal="center" vertical="center" wrapText="1"/>
    </xf>
    <xf numFmtId="0" fontId="11" fillId="0" borderId="5" xfId="4" applyFont="1" applyBorder="1" applyAlignment="1">
      <alignment horizontal="center" vertical="center" wrapText="1"/>
    </xf>
    <xf numFmtId="0" fontId="10" fillId="0" borderId="1"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1" xfId="5" applyFont="1" applyBorder="1" applyAlignment="1">
      <alignment vertical="center" wrapText="1"/>
    </xf>
    <xf numFmtId="0" fontId="10" fillId="0" borderId="1" xfId="4" applyFont="1" applyBorder="1" applyAlignment="1">
      <alignment horizontal="left" vertical="center" wrapText="1"/>
    </xf>
    <xf numFmtId="0" fontId="8" fillId="0" borderId="1" xfId="4" applyFont="1" applyBorder="1" applyAlignment="1">
      <alignment horizontal="center" vertical="center" wrapText="1"/>
    </xf>
    <xf numFmtId="0" fontId="8" fillId="0" borderId="1" xfId="4" applyFont="1" applyBorder="1" applyAlignment="1">
      <alignment horizontal="left" vertical="center" wrapText="1"/>
    </xf>
    <xf numFmtId="3" fontId="8" fillId="0" borderId="1" xfId="4" applyNumberFormat="1" applyFont="1" applyBorder="1" applyAlignment="1">
      <alignment horizontal="center" vertical="center" wrapText="1"/>
    </xf>
    <xf numFmtId="0" fontId="8" fillId="0" borderId="1" xfId="4" quotePrefix="1" applyFont="1" applyBorder="1" applyAlignment="1">
      <alignment horizontal="left" vertical="center" wrapText="1"/>
    </xf>
    <xf numFmtId="1" fontId="8" fillId="0" borderId="1" xfId="4" applyNumberFormat="1" applyFont="1" applyBorder="1" applyAlignment="1">
      <alignment horizontal="center" vertical="center" wrapText="1"/>
    </xf>
    <xf numFmtId="0" fontId="8" fillId="0" borderId="1" xfId="0" applyFont="1" applyBorder="1" applyAlignment="1">
      <alignment horizontal="left" vertical="center"/>
    </xf>
    <xf numFmtId="2" fontId="8" fillId="0" borderId="1" xfId="4" quotePrefix="1" applyNumberFormat="1" applyFont="1" applyBorder="1" applyAlignment="1">
      <alignment horizontal="left" vertical="center" wrapText="1"/>
    </xf>
    <xf numFmtId="1" fontId="10" fillId="0" borderId="1" xfId="4" applyNumberFormat="1" applyFont="1" applyBorder="1" applyAlignment="1">
      <alignment horizontal="center" vertical="center" wrapText="1"/>
    </xf>
    <xf numFmtId="0" fontId="8" fillId="0" borderId="0" xfId="6" applyFont="1" applyAlignment="1">
      <alignment vertical="center"/>
    </xf>
    <xf numFmtId="0" fontId="8" fillId="0" borderId="0" xfId="6" applyFont="1" applyAlignment="1">
      <alignment horizontal="left" vertical="center"/>
    </xf>
    <xf numFmtId="0" fontId="11" fillId="0" borderId="0" xfId="6" applyFont="1" applyAlignment="1">
      <alignment horizontal="left" vertical="center"/>
    </xf>
    <xf numFmtId="0" fontId="10" fillId="0" borderId="1" xfId="6" applyFont="1" applyBorder="1" applyAlignment="1">
      <alignment horizontal="center" vertical="center" wrapText="1"/>
    </xf>
    <xf numFmtId="0" fontId="10" fillId="0" borderId="1" xfId="6" applyFont="1" applyBorder="1" applyAlignment="1">
      <alignment horizontal="center" vertical="center"/>
    </xf>
    <xf numFmtId="0" fontId="10" fillId="0" borderId="0" xfId="6" applyFont="1" applyAlignment="1">
      <alignment vertical="center"/>
    </xf>
    <xf numFmtId="0" fontId="10" fillId="0" borderId="1" xfId="6" applyFont="1" applyBorder="1" applyAlignment="1">
      <alignment vertical="center" wrapText="1"/>
    </xf>
    <xf numFmtId="0" fontId="8" fillId="0" borderId="1" xfId="6" applyFont="1" applyBorder="1" applyAlignment="1">
      <alignment horizontal="center" vertical="center" wrapText="1"/>
    </xf>
    <xf numFmtId="0" fontId="8" fillId="0" borderId="1" xfId="6" applyFont="1" applyBorder="1" applyAlignment="1">
      <alignment vertical="center" wrapText="1"/>
    </xf>
    <xf numFmtId="3" fontId="8" fillId="0" borderId="1" xfId="7" applyNumberFormat="1" applyFont="1" applyFill="1" applyBorder="1" applyAlignment="1">
      <alignment horizontal="center" vertical="center"/>
    </xf>
    <xf numFmtId="3" fontId="8" fillId="0" borderId="1" xfId="6" applyNumberFormat="1" applyFont="1" applyBorder="1" applyAlignment="1">
      <alignment horizontal="center" vertical="center"/>
    </xf>
    <xf numFmtId="0" fontId="8" fillId="0" borderId="0" xfId="6" applyFont="1" applyAlignment="1">
      <alignment horizontal="center" vertical="center" wrapText="1"/>
    </xf>
    <xf numFmtId="3" fontId="8" fillId="0" borderId="1" xfId="6" applyNumberFormat="1" applyFont="1" applyBorder="1" applyAlignment="1">
      <alignment vertical="center"/>
    </xf>
    <xf numFmtId="0" fontId="8" fillId="0" borderId="1" xfId="6" applyFont="1" applyBorder="1" applyAlignment="1">
      <alignment horizontal="center" vertical="center"/>
    </xf>
    <xf numFmtId="0" fontId="8" fillId="0" borderId="1" xfId="8" applyFont="1" applyBorder="1" applyAlignment="1">
      <alignment horizontal="center" vertical="center"/>
    </xf>
    <xf numFmtId="0" fontId="8" fillId="0" borderId="1" xfId="8" applyFont="1" applyBorder="1" applyAlignment="1">
      <alignment vertical="center" wrapText="1"/>
    </xf>
    <xf numFmtId="3" fontId="10" fillId="0" borderId="1" xfId="6" applyNumberFormat="1" applyFont="1" applyBorder="1" applyAlignment="1">
      <alignment horizontal="center" vertical="center"/>
    </xf>
    <xf numFmtId="3" fontId="10" fillId="0" borderId="1" xfId="7" applyNumberFormat="1" applyFont="1" applyFill="1" applyBorder="1" applyAlignment="1">
      <alignment horizontal="center" vertical="center"/>
    </xf>
    <xf numFmtId="3" fontId="8" fillId="0" borderId="9" xfId="0" applyNumberFormat="1" applyFont="1" applyBorder="1" applyAlignment="1">
      <alignment horizontal="center" vertical="center" wrapText="1"/>
    </xf>
    <xf numFmtId="3" fontId="8" fillId="0" borderId="0" xfId="6" applyNumberFormat="1" applyFont="1" applyAlignment="1">
      <alignment vertical="center" wrapText="1"/>
    </xf>
    <xf numFmtId="3" fontId="8" fillId="0" borderId="1" xfId="9" applyNumberFormat="1" applyFont="1" applyFill="1" applyBorder="1" applyAlignment="1">
      <alignment horizontal="center" vertical="center"/>
    </xf>
    <xf numFmtId="3" fontId="8" fillId="0" borderId="1" xfId="7" applyNumberFormat="1" applyFont="1" applyFill="1" applyBorder="1" applyAlignment="1">
      <alignment vertical="center"/>
    </xf>
    <xf numFmtId="0" fontId="8" fillId="0" borderId="0" xfId="6" applyFont="1" applyAlignment="1">
      <alignment horizontal="center" vertical="center"/>
    </xf>
    <xf numFmtId="0" fontId="10" fillId="0" borderId="0" xfId="2" applyFont="1" applyAlignment="1">
      <alignment vertical="center"/>
    </xf>
    <xf numFmtId="0" fontId="10" fillId="0" borderId="0" xfId="2" applyFont="1"/>
    <xf numFmtId="0" fontId="8" fillId="0" borderId="0" xfId="2" applyFont="1"/>
    <xf numFmtId="0" fontId="8" fillId="0" borderId="0" xfId="2" applyFont="1" applyAlignment="1">
      <alignment horizontal="center"/>
    </xf>
    <xf numFmtId="0" fontId="10" fillId="0" borderId="1" xfId="2" applyFont="1" applyBorder="1" applyAlignment="1">
      <alignment horizontal="center" vertical="center" wrapText="1"/>
    </xf>
    <xf numFmtId="0" fontId="8" fillId="0" borderId="1" xfId="2" applyFont="1" applyBorder="1" applyAlignment="1">
      <alignment vertical="center" wrapText="1"/>
    </xf>
    <xf numFmtId="3" fontId="8" fillId="0" borderId="1" xfId="2" applyNumberFormat="1" applyFont="1" applyBorder="1" applyAlignment="1">
      <alignment horizontal="right" vertical="center" wrapText="1"/>
    </xf>
    <xf numFmtId="3" fontId="10" fillId="0" borderId="1" xfId="2" applyNumberFormat="1" applyFont="1" applyBorder="1" applyAlignment="1">
      <alignment horizontal="right" vertical="center" wrapText="1"/>
    </xf>
    <xf numFmtId="0" fontId="10" fillId="0" borderId="1" xfId="2" applyFont="1" applyBorder="1" applyAlignment="1">
      <alignment vertical="center" wrapText="1"/>
    </xf>
    <xf numFmtId="0" fontId="8" fillId="0" borderId="0" xfId="0" applyFont="1" applyAlignment="1">
      <alignment horizontal="center"/>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right" vertical="center" wrapText="1"/>
    </xf>
    <xf numFmtId="0" fontId="8" fillId="0" borderId="1" xfId="0" quotePrefix="1" applyFont="1" applyBorder="1" applyAlignment="1">
      <alignment horizontal="center" vertical="center" wrapText="1"/>
    </xf>
    <xf numFmtId="166" fontId="8" fillId="0" borderId="1" xfId="0" quotePrefix="1" applyNumberFormat="1" applyFont="1" applyBorder="1" applyAlignment="1">
      <alignment horizontal="right" vertical="center" wrapText="1"/>
    </xf>
    <xf numFmtId="166" fontId="8" fillId="0" borderId="1" xfId="0" quotePrefix="1" applyNumberFormat="1" applyFont="1" applyBorder="1" applyAlignment="1">
      <alignment horizontal="center" vertical="center" wrapText="1"/>
    </xf>
    <xf numFmtId="165" fontId="8" fillId="0" borderId="1" xfId="1" applyNumberFormat="1" applyFont="1" applyFill="1" applyBorder="1" applyAlignment="1">
      <alignment horizontal="right" vertical="center" wrapText="1"/>
    </xf>
    <xf numFmtId="3" fontId="8" fillId="0" borderId="1" xfId="0" quotePrefix="1" applyNumberFormat="1" applyFont="1" applyBorder="1" applyAlignment="1">
      <alignment horizontal="right" vertical="center" wrapText="1"/>
    </xf>
    <xf numFmtId="3" fontId="8" fillId="0" borderId="1" xfId="0" quotePrefix="1" applyNumberFormat="1" applyFont="1" applyBorder="1" applyAlignment="1">
      <alignment horizontal="center" vertical="center" wrapText="1"/>
    </xf>
    <xf numFmtId="165" fontId="8" fillId="0" borderId="1" xfId="1" applyNumberFormat="1" applyFont="1" applyFill="1" applyBorder="1" applyAlignment="1">
      <alignment vertical="center" wrapText="1"/>
    </xf>
    <xf numFmtId="3" fontId="8" fillId="0" borderId="1" xfId="0" quotePrefix="1" applyNumberFormat="1" applyFont="1" applyBorder="1" applyAlignment="1">
      <alignment vertical="center" wrapText="1"/>
    </xf>
    <xf numFmtId="166" fontId="8" fillId="0" borderId="1" xfId="0" quotePrefix="1" applyNumberFormat="1" applyFont="1" applyBorder="1" applyAlignment="1">
      <alignment vertical="center" wrapText="1"/>
    </xf>
    <xf numFmtId="3" fontId="8" fillId="0" borderId="1" xfId="0" applyNumberFormat="1" applyFont="1" applyBorder="1" applyAlignment="1">
      <alignment vertical="center"/>
    </xf>
    <xf numFmtId="3" fontId="8" fillId="0" borderId="1" xfId="0" applyNumberFormat="1" applyFont="1" applyBorder="1" applyAlignment="1">
      <alignment horizontal="center" vertical="center"/>
    </xf>
    <xf numFmtId="3" fontId="8" fillId="0" borderId="1" xfId="0" applyNumberFormat="1" applyFont="1" applyBorder="1" applyAlignment="1">
      <alignment horizontal="right" vertical="center"/>
    </xf>
    <xf numFmtId="165" fontId="8" fillId="0" borderId="1" xfId="1" applyNumberFormat="1" applyFont="1" applyFill="1" applyBorder="1" applyAlignment="1">
      <alignment horizontal="right" vertical="center"/>
    </xf>
    <xf numFmtId="3" fontId="8" fillId="0" borderId="1" xfId="0" quotePrefix="1" applyNumberFormat="1" applyFont="1" applyBorder="1" applyAlignment="1">
      <alignment horizontal="right"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right" vertical="center" wrapText="1"/>
    </xf>
    <xf numFmtId="49" fontId="10" fillId="0" borderId="1" xfId="1" applyNumberFormat="1" applyFont="1" applyFill="1" applyBorder="1" applyAlignment="1">
      <alignment horizontal="right" vertical="center" wrapText="1"/>
    </xf>
    <xf numFmtId="49" fontId="10" fillId="0" borderId="1" xfId="0" quotePrefix="1" applyNumberFormat="1" applyFont="1" applyBorder="1" applyAlignment="1">
      <alignment horizontal="right" vertical="center" wrapText="1"/>
    </xf>
    <xf numFmtId="49" fontId="8" fillId="0" borderId="1" xfId="0" applyNumberFormat="1"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vertical="center" wrapText="1"/>
    </xf>
    <xf numFmtId="1" fontId="10" fillId="0" borderId="1" xfId="0" applyNumberFormat="1" applyFont="1" applyBorder="1" applyAlignment="1">
      <alignment horizontal="center" vertical="center" wrapText="1"/>
    </xf>
    <xf numFmtId="165" fontId="8" fillId="0" borderId="1" xfId="12" applyNumberFormat="1" applyFont="1" applyFill="1" applyBorder="1" applyAlignment="1">
      <alignment horizontal="right" vertical="center" wrapText="1"/>
    </xf>
    <xf numFmtId="1" fontId="8" fillId="0" borderId="1" xfId="12" applyNumberFormat="1" applyFont="1" applyFill="1" applyBorder="1" applyAlignment="1">
      <alignment horizontal="right" vertical="center" wrapText="1"/>
    </xf>
    <xf numFmtId="1" fontId="8" fillId="0" borderId="1" xfId="0" applyNumberFormat="1" applyFont="1" applyBorder="1" applyAlignment="1">
      <alignment horizontal="right" vertical="center" wrapText="1"/>
    </xf>
    <xf numFmtId="0" fontId="10" fillId="0" borderId="1" xfId="0" applyFont="1" applyBorder="1"/>
    <xf numFmtId="0" fontId="10" fillId="0" borderId="0" xfId="0" applyFont="1"/>
    <xf numFmtId="0" fontId="8" fillId="0" borderId="1" xfId="0" applyFont="1" applyBorder="1" applyAlignment="1">
      <alignment horizontal="right" vertical="center"/>
    </xf>
    <xf numFmtId="0" fontId="8" fillId="0" borderId="0" xfId="0" applyFont="1" applyAlignment="1">
      <alignment wrapText="1"/>
    </xf>
    <xf numFmtId="0" fontId="8" fillId="0" borderId="1" xfId="0" quotePrefix="1" applyFont="1" applyBorder="1" applyAlignment="1">
      <alignment vertical="center" wrapText="1"/>
    </xf>
    <xf numFmtId="39" fontId="8" fillId="0" borderId="0" xfId="0" applyNumberFormat="1" applyFont="1"/>
    <xf numFmtId="0" fontId="10" fillId="0" borderId="0" xfId="0" applyFont="1" applyAlignment="1">
      <alignment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0" xfId="11" applyFont="1" applyAlignment="1">
      <alignment horizontal="center" vertical="center" wrapText="1"/>
    </xf>
    <xf numFmtId="0" fontId="10" fillId="0" borderId="7" xfId="11" applyFont="1" applyBorder="1" applyAlignment="1">
      <alignment horizontal="center" vertical="center" wrapText="1"/>
    </xf>
    <xf numFmtId="3" fontId="8" fillId="0" borderId="1" xfId="11" applyNumberFormat="1" applyFont="1" applyBorder="1" applyAlignment="1">
      <alignment horizontal="right" vertical="center" wrapText="1"/>
    </xf>
    <xf numFmtId="0" fontId="8" fillId="0" borderId="6" xfId="11" applyFont="1" applyBorder="1" applyAlignment="1">
      <alignment horizontal="center" vertical="center"/>
    </xf>
    <xf numFmtId="0" fontId="8" fillId="0" borderId="6" xfId="11" applyFont="1" applyBorder="1" applyAlignment="1">
      <alignment horizontal="left" vertical="center"/>
    </xf>
    <xf numFmtId="3" fontId="8" fillId="0" borderId="6" xfId="11" applyNumberFormat="1" applyFont="1" applyBorder="1" applyAlignment="1">
      <alignment horizontal="right" vertical="center" wrapText="1"/>
    </xf>
    <xf numFmtId="0" fontId="8" fillId="0" borderId="0" xfId="11" applyFont="1" applyAlignment="1">
      <alignment horizontal="center"/>
    </xf>
    <xf numFmtId="0" fontId="10" fillId="0" borderId="0" xfId="2" applyFont="1" applyAlignment="1">
      <alignment vertical="center" wrapText="1"/>
    </xf>
    <xf numFmtId="0" fontId="10" fillId="0" borderId="0" xfId="2" applyFont="1" applyAlignment="1">
      <alignment horizontal="left"/>
    </xf>
    <xf numFmtId="0" fontId="11" fillId="0" borderId="0" xfId="2" applyFont="1" applyAlignment="1">
      <alignment horizontal="center"/>
    </xf>
    <xf numFmtId="0" fontId="21" fillId="0" borderId="0" xfId="0" applyFont="1"/>
    <xf numFmtId="0" fontId="10" fillId="0" borderId="1" xfId="2" applyFont="1" applyBorder="1" applyAlignment="1">
      <alignment horizontal="center"/>
    </xf>
    <xf numFmtId="0" fontId="10" fillId="0" borderId="8" xfId="2" applyFont="1" applyBorder="1" applyAlignment="1">
      <alignment horizontal="center" vertical="center" wrapText="1"/>
    </xf>
    <xf numFmtId="0" fontId="10" fillId="0" borderId="8" xfId="0" applyFont="1" applyBorder="1" applyAlignment="1">
      <alignment horizontal="center" vertical="center" wrapText="1"/>
    </xf>
    <xf numFmtId="3" fontId="8" fillId="0" borderId="1" xfId="2" applyNumberFormat="1" applyFont="1" applyBorder="1" applyAlignment="1">
      <alignment horizontal="center" vertical="center"/>
    </xf>
    <xf numFmtId="3" fontId="8" fillId="0" borderId="1" xfId="2" applyNumberFormat="1" applyFont="1" applyBorder="1"/>
    <xf numFmtId="0" fontId="10" fillId="0" borderId="1" xfId="0" applyFont="1" applyBorder="1" applyAlignment="1">
      <alignment vertical="center"/>
    </xf>
    <xf numFmtId="165" fontId="8" fillId="0" borderId="1" xfId="10" applyNumberFormat="1" applyFont="1" applyFill="1" applyBorder="1" applyAlignment="1">
      <alignment horizontal="right" vertical="center" wrapText="1"/>
    </xf>
    <xf numFmtId="166" fontId="8" fillId="0" borderId="1" xfId="0" applyNumberFormat="1" applyFont="1" applyBorder="1" applyAlignment="1">
      <alignment horizontal="center" vertical="center"/>
    </xf>
    <xf numFmtId="165" fontId="8" fillId="0" borderId="1" xfId="10" applyNumberFormat="1" applyFont="1" applyFill="1" applyBorder="1" applyAlignment="1">
      <alignment horizontal="center" vertical="center" wrapText="1"/>
    </xf>
    <xf numFmtId="0" fontId="8" fillId="0" borderId="1" xfId="2" applyFont="1" applyBorder="1"/>
    <xf numFmtId="0" fontId="8" fillId="0" borderId="1" xfId="2" applyFont="1" applyBorder="1" applyAlignment="1">
      <alignment wrapText="1"/>
    </xf>
    <xf numFmtId="0" fontId="8" fillId="0" borderId="1" xfId="2" quotePrefix="1" applyFont="1" applyBorder="1" applyAlignment="1">
      <alignment horizontal="left" vertical="center" wrapText="1"/>
    </xf>
    <xf numFmtId="0" fontId="10" fillId="0" borderId="1" xfId="0" applyFont="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center" vertical="center" wrapText="1"/>
    </xf>
    <xf numFmtId="0" fontId="10" fillId="0" borderId="0" xfId="0" applyFont="1" applyAlignment="1">
      <alignment horizontal="left" vertical="center" wrapText="1"/>
    </xf>
    <xf numFmtId="0" fontId="11"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xf numFmtId="0" fontId="3" fillId="0" borderId="0" xfId="0" applyFont="1" applyAlignment="1">
      <alignment horizontal="left" vertical="center" wrapText="1"/>
    </xf>
    <xf numFmtId="0" fontId="11" fillId="0" borderId="5" xfId="0" applyFont="1" applyBorder="1" applyAlignment="1">
      <alignment vertical="center" wrapText="1"/>
    </xf>
    <xf numFmtId="0" fontId="10" fillId="0" borderId="1" xfId="0" applyFont="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0" xfId="0" applyFont="1" applyAlignment="1">
      <alignment horizontal="right" vertical="center" wrapText="1"/>
    </xf>
    <xf numFmtId="3" fontId="8" fillId="0" borderId="2"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10" fillId="0" borderId="0" xfId="4" applyFont="1" applyAlignment="1">
      <alignment horizontal="left" vertical="center" wrapText="1"/>
    </xf>
    <xf numFmtId="0" fontId="11" fillId="0" borderId="5" xfId="4" applyFont="1" applyBorder="1" applyAlignment="1">
      <alignment horizontal="center" vertical="center" wrapText="1"/>
    </xf>
    <xf numFmtId="0" fontId="10" fillId="0" borderId="1" xfId="4" applyFont="1" applyBorder="1" applyAlignment="1">
      <alignment horizontal="center" vertical="center" wrapText="1"/>
    </xf>
    <xf numFmtId="0" fontId="11" fillId="0" borderId="5" xfId="4" applyFont="1" applyBorder="1" applyAlignment="1">
      <alignment horizontal="right" vertical="center" wrapText="1"/>
    </xf>
    <xf numFmtId="0" fontId="11" fillId="0" borderId="5" xfId="6" applyFont="1" applyBorder="1" applyAlignment="1">
      <alignment horizontal="right" vertical="center"/>
    </xf>
    <xf numFmtId="0" fontId="8" fillId="0" borderId="0" xfId="6" applyFont="1" applyAlignment="1">
      <alignment horizontal="center" vertical="center"/>
    </xf>
    <xf numFmtId="0" fontId="3" fillId="0" borderId="0" xfId="2" applyFont="1" applyAlignment="1">
      <alignment horizontal="left" vertical="center" wrapText="1"/>
    </xf>
    <xf numFmtId="0" fontId="11" fillId="0" borderId="5"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6" applyFont="1" applyBorder="1" applyAlignment="1">
      <alignment horizontal="center" vertical="center"/>
    </xf>
    <xf numFmtId="0" fontId="10" fillId="0" borderId="2" xfId="6" applyFont="1" applyBorder="1" applyAlignment="1">
      <alignment horizontal="center" vertical="center" wrapText="1"/>
    </xf>
    <xf numFmtId="0" fontId="10" fillId="0" borderId="3" xfId="6" applyFont="1" applyBorder="1" applyAlignment="1">
      <alignment horizontal="center" vertical="center" wrapText="1"/>
    </xf>
    <xf numFmtId="0" fontId="10" fillId="0" borderId="4" xfId="6" applyFont="1" applyBorder="1" applyAlignment="1">
      <alignment horizontal="center" vertical="center" wrapText="1"/>
    </xf>
    <xf numFmtId="0" fontId="10" fillId="0" borderId="2" xfId="6" applyFont="1" applyBorder="1" applyAlignment="1">
      <alignment horizontal="center" vertical="center"/>
    </xf>
    <xf numFmtId="0" fontId="10" fillId="0" borderId="3" xfId="6" applyFont="1" applyBorder="1" applyAlignment="1">
      <alignment horizontal="center" vertical="center"/>
    </xf>
    <xf numFmtId="0" fontId="10" fillId="0" borderId="4" xfId="6" applyFont="1" applyBorder="1" applyAlignment="1">
      <alignment horizontal="center" vertical="center"/>
    </xf>
    <xf numFmtId="0" fontId="11" fillId="0" borderId="5" xfId="2" applyFont="1" applyBorder="1" applyAlignment="1">
      <alignment horizontal="right" vertical="center"/>
    </xf>
    <xf numFmtId="0" fontId="10" fillId="0" borderId="1" xfId="2" applyFont="1" applyBorder="1" applyAlignment="1">
      <alignment horizontal="center" vertical="center" wrapText="1"/>
    </xf>
    <xf numFmtId="0" fontId="3" fillId="0" borderId="0" xfId="0" applyFont="1" applyAlignment="1">
      <alignment horizontal="left" vertical="center"/>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0" xfId="0" applyFont="1" applyAlignment="1">
      <alignment horizontal="right"/>
    </xf>
    <xf numFmtId="0" fontId="5" fillId="0" borderId="0" xfId="0" applyFont="1" applyAlignment="1">
      <alignment horizontal="left"/>
    </xf>
    <xf numFmtId="0" fontId="10"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5" xfId="0" applyFont="1" applyBorder="1" applyAlignment="1">
      <alignment horizontal="right" wrapText="1"/>
    </xf>
    <xf numFmtId="0" fontId="10" fillId="0" borderId="0" xfId="0" applyFont="1" applyAlignment="1">
      <alignment horizontal="left" vertical="center"/>
    </xf>
    <xf numFmtId="0" fontId="11" fillId="0" borderId="5" xfId="0" applyFont="1" applyBorder="1" applyAlignment="1">
      <alignment horizontal="right" vertical="center" wrapText="1"/>
    </xf>
    <xf numFmtId="0" fontId="10" fillId="0" borderId="0" xfId="11" applyFont="1" applyAlignment="1">
      <alignment horizontal="left" vertical="center" wrapText="1"/>
    </xf>
    <xf numFmtId="0" fontId="3" fillId="0" borderId="0" xfId="11" applyFont="1" applyAlignment="1">
      <alignment horizontal="left" vertical="center" wrapText="1"/>
    </xf>
    <xf numFmtId="0" fontId="10" fillId="0" borderId="6" xfId="11" applyFont="1" applyBorder="1" applyAlignment="1">
      <alignment horizontal="center" vertical="center" wrapText="1"/>
    </xf>
    <xf numFmtId="0" fontId="10" fillId="0" borderId="7" xfId="11" applyFont="1" applyBorder="1" applyAlignment="1">
      <alignment horizontal="center" vertical="center" wrapText="1"/>
    </xf>
    <xf numFmtId="0" fontId="10" fillId="0" borderId="1" xfId="11" applyFont="1" applyBorder="1" applyAlignment="1">
      <alignment horizontal="center" vertical="center"/>
    </xf>
    <xf numFmtId="0" fontId="17" fillId="0" borderId="5" xfId="11" applyFont="1" applyBorder="1" applyAlignment="1">
      <alignment horizontal="right"/>
    </xf>
    <xf numFmtId="0" fontId="11" fillId="0" borderId="0" xfId="2" applyFont="1" applyAlignment="1">
      <alignment horizontal="center"/>
    </xf>
    <xf numFmtId="0" fontId="10" fillId="0" borderId="1" xfId="2" applyFont="1" applyBorder="1" applyAlignment="1">
      <alignment horizontal="center"/>
    </xf>
    <xf numFmtId="0" fontId="11" fillId="0" borderId="5" xfId="2" applyFont="1" applyBorder="1" applyAlignment="1">
      <alignment horizontal="right"/>
    </xf>
  </cellXfs>
  <cellStyles count="16">
    <cellStyle name="Comma" xfId="12" builtinId="3"/>
    <cellStyle name="Comma 2" xfId="7"/>
    <cellStyle name="Comma 2 2" xfId="9"/>
    <cellStyle name="Comma 3 2" xfId="1"/>
    <cellStyle name="Comma 4" xfId="3"/>
    <cellStyle name="Comma 5" xfId="10"/>
    <cellStyle name="Normal" xfId="0" builtinId="0"/>
    <cellStyle name="Normal 10 2" xfId="6"/>
    <cellStyle name="Normal 2" xfId="4"/>
    <cellStyle name="Normal 2 2" xfId="14"/>
    <cellStyle name="Normal 3" xfId="5"/>
    <cellStyle name="Normal 4" xfId="11"/>
    <cellStyle name="Normal 5 5" xfId="8"/>
    <cellStyle name="Normal 6" xfId="2"/>
    <cellStyle name="Percent 2" xfId="15"/>
    <cellStyle name="Percent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F1" zoomScaleNormal="100" workbookViewId="0">
      <selection activeCell="M7" sqref="M7"/>
    </sheetView>
  </sheetViews>
  <sheetFormatPr defaultRowHeight="16.5" x14ac:dyDescent="0.25"/>
  <cols>
    <col min="1" max="1" width="5.140625" style="4" hidden="1" customWidth="1"/>
    <col min="2" max="2" width="53.28515625" style="6" hidden="1" customWidth="1"/>
    <col min="3" max="5" width="7.7109375" style="4" hidden="1" customWidth="1"/>
    <col min="6" max="6" width="6.5703125" style="4" customWidth="1"/>
    <col min="7" max="7" width="59.5703125" style="5" customWidth="1"/>
    <col min="8" max="8" width="11.85546875" style="3" customWidth="1"/>
    <col min="9" max="9" width="12" style="3" customWidth="1"/>
    <col min="10" max="10" width="15" style="3" customWidth="1"/>
    <col min="11" max="253" width="9.140625" style="3"/>
    <col min="254" max="258" width="0" style="3" hidden="1" customWidth="1"/>
    <col min="259" max="259" width="6.5703125" style="3" customWidth="1"/>
    <col min="260" max="260" width="69.28515625" style="3" customWidth="1"/>
    <col min="261" max="266" width="12.140625" style="3" customWidth="1"/>
    <col min="267" max="509" width="9.140625" style="3"/>
    <col min="510" max="514" width="0" style="3" hidden="1" customWidth="1"/>
    <col min="515" max="515" width="6.5703125" style="3" customWidth="1"/>
    <col min="516" max="516" width="69.28515625" style="3" customWidth="1"/>
    <col min="517" max="522" width="12.140625" style="3" customWidth="1"/>
    <col min="523" max="765" width="9.140625" style="3"/>
    <col min="766" max="770" width="0" style="3" hidden="1" customWidth="1"/>
    <col min="771" max="771" width="6.5703125" style="3" customWidth="1"/>
    <col min="772" max="772" width="69.28515625" style="3" customWidth="1"/>
    <col min="773" max="778" width="12.140625" style="3" customWidth="1"/>
    <col min="779" max="1021" width="9.140625" style="3"/>
    <col min="1022" max="1026" width="0" style="3" hidden="1" customWidth="1"/>
    <col min="1027" max="1027" width="6.5703125" style="3" customWidth="1"/>
    <col min="1028" max="1028" width="69.28515625" style="3" customWidth="1"/>
    <col min="1029" max="1034" width="12.140625" style="3" customWidth="1"/>
    <col min="1035" max="1277" width="9.140625" style="3"/>
    <col min="1278" max="1282" width="0" style="3" hidden="1" customWidth="1"/>
    <col min="1283" max="1283" width="6.5703125" style="3" customWidth="1"/>
    <col min="1284" max="1284" width="69.28515625" style="3" customWidth="1"/>
    <col min="1285" max="1290" width="12.140625" style="3" customWidth="1"/>
    <col min="1291" max="1533" width="9.140625" style="3"/>
    <col min="1534" max="1538" width="0" style="3" hidden="1" customWidth="1"/>
    <col min="1539" max="1539" width="6.5703125" style="3" customWidth="1"/>
    <col min="1540" max="1540" width="69.28515625" style="3" customWidth="1"/>
    <col min="1541" max="1546" width="12.140625" style="3" customWidth="1"/>
    <col min="1547" max="1789" width="9.140625" style="3"/>
    <col min="1790" max="1794" width="0" style="3" hidden="1" customWidth="1"/>
    <col min="1795" max="1795" width="6.5703125" style="3" customWidth="1"/>
    <col min="1796" max="1796" width="69.28515625" style="3" customWidth="1"/>
    <col min="1797" max="1802" width="12.140625" style="3" customWidth="1"/>
    <col min="1803" max="2045" width="9.140625" style="3"/>
    <col min="2046" max="2050" width="0" style="3" hidden="1" customWidth="1"/>
    <col min="2051" max="2051" width="6.5703125" style="3" customWidth="1"/>
    <col min="2052" max="2052" width="69.28515625" style="3" customWidth="1"/>
    <col min="2053" max="2058" width="12.140625" style="3" customWidth="1"/>
    <col min="2059" max="2301" width="9.140625" style="3"/>
    <col min="2302" max="2306" width="0" style="3" hidden="1" customWidth="1"/>
    <col min="2307" max="2307" width="6.5703125" style="3" customWidth="1"/>
    <col min="2308" max="2308" width="69.28515625" style="3" customWidth="1"/>
    <col min="2309" max="2314" width="12.140625" style="3" customWidth="1"/>
    <col min="2315" max="2557" width="9.140625" style="3"/>
    <col min="2558" max="2562" width="0" style="3" hidden="1" customWidth="1"/>
    <col min="2563" max="2563" width="6.5703125" style="3" customWidth="1"/>
    <col min="2564" max="2564" width="69.28515625" style="3" customWidth="1"/>
    <col min="2565" max="2570" width="12.140625" style="3" customWidth="1"/>
    <col min="2571" max="2813" width="9.140625" style="3"/>
    <col min="2814" max="2818" width="0" style="3" hidden="1" customWidth="1"/>
    <col min="2819" max="2819" width="6.5703125" style="3" customWidth="1"/>
    <col min="2820" max="2820" width="69.28515625" style="3" customWidth="1"/>
    <col min="2821" max="2826" width="12.140625" style="3" customWidth="1"/>
    <col min="2827" max="3069" width="9.140625" style="3"/>
    <col min="3070" max="3074" width="0" style="3" hidden="1" customWidth="1"/>
    <col min="3075" max="3075" width="6.5703125" style="3" customWidth="1"/>
    <col min="3076" max="3076" width="69.28515625" style="3" customWidth="1"/>
    <col min="3077" max="3082" width="12.140625" style="3" customWidth="1"/>
    <col min="3083" max="3325" width="9.140625" style="3"/>
    <col min="3326" max="3330" width="0" style="3" hidden="1" customWidth="1"/>
    <col min="3331" max="3331" width="6.5703125" style="3" customWidth="1"/>
    <col min="3332" max="3332" width="69.28515625" style="3" customWidth="1"/>
    <col min="3333" max="3338" width="12.140625" style="3" customWidth="1"/>
    <col min="3339" max="3581" width="9.140625" style="3"/>
    <col min="3582" max="3586" width="0" style="3" hidden="1" customWidth="1"/>
    <col min="3587" max="3587" width="6.5703125" style="3" customWidth="1"/>
    <col min="3588" max="3588" width="69.28515625" style="3" customWidth="1"/>
    <col min="3589" max="3594" width="12.140625" style="3" customWidth="1"/>
    <col min="3595" max="3837" width="9.140625" style="3"/>
    <col min="3838" max="3842" width="0" style="3" hidden="1" customWidth="1"/>
    <col min="3843" max="3843" width="6.5703125" style="3" customWidth="1"/>
    <col min="3844" max="3844" width="69.28515625" style="3" customWidth="1"/>
    <col min="3845" max="3850" width="12.140625" style="3" customWidth="1"/>
    <col min="3851" max="4093" width="9.140625" style="3"/>
    <col min="4094" max="4098" width="0" style="3" hidden="1" customWidth="1"/>
    <col min="4099" max="4099" width="6.5703125" style="3" customWidth="1"/>
    <col min="4100" max="4100" width="69.28515625" style="3" customWidth="1"/>
    <col min="4101" max="4106" width="12.140625" style="3" customWidth="1"/>
    <col min="4107" max="4349" width="9.140625" style="3"/>
    <col min="4350" max="4354" width="0" style="3" hidden="1" customWidth="1"/>
    <col min="4355" max="4355" width="6.5703125" style="3" customWidth="1"/>
    <col min="4356" max="4356" width="69.28515625" style="3" customWidth="1"/>
    <col min="4357" max="4362" width="12.140625" style="3" customWidth="1"/>
    <col min="4363" max="4605" width="9.140625" style="3"/>
    <col min="4606" max="4610" width="0" style="3" hidden="1" customWidth="1"/>
    <col min="4611" max="4611" width="6.5703125" style="3" customWidth="1"/>
    <col min="4612" max="4612" width="69.28515625" style="3" customWidth="1"/>
    <col min="4613" max="4618" width="12.140625" style="3" customWidth="1"/>
    <col min="4619" max="4861" width="9.140625" style="3"/>
    <col min="4862" max="4866" width="0" style="3" hidden="1" customWidth="1"/>
    <col min="4867" max="4867" width="6.5703125" style="3" customWidth="1"/>
    <col min="4868" max="4868" width="69.28515625" style="3" customWidth="1"/>
    <col min="4869" max="4874" width="12.140625" style="3" customWidth="1"/>
    <col min="4875" max="5117" width="9.140625" style="3"/>
    <col min="5118" max="5122" width="0" style="3" hidden="1" customWidth="1"/>
    <col min="5123" max="5123" width="6.5703125" style="3" customWidth="1"/>
    <col min="5124" max="5124" width="69.28515625" style="3" customWidth="1"/>
    <col min="5125" max="5130" width="12.140625" style="3" customWidth="1"/>
    <col min="5131" max="5373" width="9.140625" style="3"/>
    <col min="5374" max="5378" width="0" style="3" hidden="1" customWidth="1"/>
    <col min="5379" max="5379" width="6.5703125" style="3" customWidth="1"/>
    <col min="5380" max="5380" width="69.28515625" style="3" customWidth="1"/>
    <col min="5381" max="5386" width="12.140625" style="3" customWidth="1"/>
    <col min="5387" max="5629" width="9.140625" style="3"/>
    <col min="5630" max="5634" width="0" style="3" hidden="1" customWidth="1"/>
    <col min="5635" max="5635" width="6.5703125" style="3" customWidth="1"/>
    <col min="5636" max="5636" width="69.28515625" style="3" customWidth="1"/>
    <col min="5637" max="5642" width="12.140625" style="3" customWidth="1"/>
    <col min="5643" max="5885" width="9.140625" style="3"/>
    <col min="5886" max="5890" width="0" style="3" hidden="1" customWidth="1"/>
    <col min="5891" max="5891" width="6.5703125" style="3" customWidth="1"/>
    <col min="5892" max="5892" width="69.28515625" style="3" customWidth="1"/>
    <col min="5893" max="5898" width="12.140625" style="3" customWidth="1"/>
    <col min="5899" max="6141" width="9.140625" style="3"/>
    <col min="6142" max="6146" width="0" style="3" hidden="1" customWidth="1"/>
    <col min="6147" max="6147" width="6.5703125" style="3" customWidth="1"/>
    <col min="6148" max="6148" width="69.28515625" style="3" customWidth="1"/>
    <col min="6149" max="6154" width="12.140625" style="3" customWidth="1"/>
    <col min="6155" max="6397" width="9.140625" style="3"/>
    <col min="6398" max="6402" width="0" style="3" hidden="1" customWidth="1"/>
    <col min="6403" max="6403" width="6.5703125" style="3" customWidth="1"/>
    <col min="6404" max="6404" width="69.28515625" style="3" customWidth="1"/>
    <col min="6405" max="6410" width="12.140625" style="3" customWidth="1"/>
    <col min="6411" max="6653" width="9.140625" style="3"/>
    <col min="6654" max="6658" width="0" style="3" hidden="1" customWidth="1"/>
    <col min="6659" max="6659" width="6.5703125" style="3" customWidth="1"/>
    <col min="6660" max="6660" width="69.28515625" style="3" customWidth="1"/>
    <col min="6661" max="6666" width="12.140625" style="3" customWidth="1"/>
    <col min="6667" max="6909" width="9.140625" style="3"/>
    <col min="6910" max="6914" width="0" style="3" hidden="1" customWidth="1"/>
    <col min="6915" max="6915" width="6.5703125" style="3" customWidth="1"/>
    <col min="6916" max="6916" width="69.28515625" style="3" customWidth="1"/>
    <col min="6917" max="6922" width="12.140625" style="3" customWidth="1"/>
    <col min="6923" max="7165" width="9.140625" style="3"/>
    <col min="7166" max="7170" width="0" style="3" hidden="1" customWidth="1"/>
    <col min="7171" max="7171" width="6.5703125" style="3" customWidth="1"/>
    <col min="7172" max="7172" width="69.28515625" style="3" customWidth="1"/>
    <col min="7173" max="7178" width="12.140625" style="3" customWidth="1"/>
    <col min="7179" max="7421" width="9.140625" style="3"/>
    <col min="7422" max="7426" width="0" style="3" hidden="1" customWidth="1"/>
    <col min="7427" max="7427" width="6.5703125" style="3" customWidth="1"/>
    <col min="7428" max="7428" width="69.28515625" style="3" customWidth="1"/>
    <col min="7429" max="7434" width="12.140625" style="3" customWidth="1"/>
    <col min="7435" max="7677" width="9.140625" style="3"/>
    <col min="7678" max="7682" width="0" style="3" hidden="1" customWidth="1"/>
    <col min="7683" max="7683" width="6.5703125" style="3" customWidth="1"/>
    <col min="7684" max="7684" width="69.28515625" style="3" customWidth="1"/>
    <col min="7685" max="7690" width="12.140625" style="3" customWidth="1"/>
    <col min="7691" max="7933" width="9.140625" style="3"/>
    <col min="7934" max="7938" width="0" style="3" hidden="1" customWidth="1"/>
    <col min="7939" max="7939" width="6.5703125" style="3" customWidth="1"/>
    <col min="7940" max="7940" width="69.28515625" style="3" customWidth="1"/>
    <col min="7941" max="7946" width="12.140625" style="3" customWidth="1"/>
    <col min="7947" max="8189" width="9.140625" style="3"/>
    <col min="8190" max="8194" width="0" style="3" hidden="1" customWidth="1"/>
    <col min="8195" max="8195" width="6.5703125" style="3" customWidth="1"/>
    <col min="8196" max="8196" width="69.28515625" style="3" customWidth="1"/>
    <col min="8197" max="8202" width="12.140625" style="3" customWidth="1"/>
    <col min="8203" max="8445" width="9.140625" style="3"/>
    <col min="8446" max="8450" width="0" style="3" hidden="1" customWidth="1"/>
    <col min="8451" max="8451" width="6.5703125" style="3" customWidth="1"/>
    <col min="8452" max="8452" width="69.28515625" style="3" customWidth="1"/>
    <col min="8453" max="8458" width="12.140625" style="3" customWidth="1"/>
    <col min="8459" max="8701" width="9.140625" style="3"/>
    <col min="8702" max="8706" width="0" style="3" hidden="1" customWidth="1"/>
    <col min="8707" max="8707" width="6.5703125" style="3" customWidth="1"/>
    <col min="8708" max="8708" width="69.28515625" style="3" customWidth="1"/>
    <col min="8709" max="8714" width="12.140625" style="3" customWidth="1"/>
    <col min="8715" max="8957" width="9.140625" style="3"/>
    <col min="8958" max="8962" width="0" style="3" hidden="1" customWidth="1"/>
    <col min="8963" max="8963" width="6.5703125" style="3" customWidth="1"/>
    <col min="8964" max="8964" width="69.28515625" style="3" customWidth="1"/>
    <col min="8965" max="8970" width="12.140625" style="3" customWidth="1"/>
    <col min="8971" max="9213" width="9.140625" style="3"/>
    <col min="9214" max="9218" width="0" style="3" hidden="1" customWidth="1"/>
    <col min="9219" max="9219" width="6.5703125" style="3" customWidth="1"/>
    <col min="9220" max="9220" width="69.28515625" style="3" customWidth="1"/>
    <col min="9221" max="9226" width="12.140625" style="3" customWidth="1"/>
    <col min="9227" max="9469" width="9.140625" style="3"/>
    <col min="9470" max="9474" width="0" style="3" hidden="1" customWidth="1"/>
    <col min="9475" max="9475" width="6.5703125" style="3" customWidth="1"/>
    <col min="9476" max="9476" width="69.28515625" style="3" customWidth="1"/>
    <col min="9477" max="9482" width="12.140625" style="3" customWidth="1"/>
    <col min="9483" max="9725" width="9.140625" style="3"/>
    <col min="9726" max="9730" width="0" style="3" hidden="1" customWidth="1"/>
    <col min="9731" max="9731" width="6.5703125" style="3" customWidth="1"/>
    <col min="9732" max="9732" width="69.28515625" style="3" customWidth="1"/>
    <col min="9733" max="9738" width="12.140625" style="3" customWidth="1"/>
    <col min="9739" max="9981" width="9.140625" style="3"/>
    <col min="9982" max="9986" width="0" style="3" hidden="1" customWidth="1"/>
    <col min="9987" max="9987" width="6.5703125" style="3" customWidth="1"/>
    <col min="9988" max="9988" width="69.28515625" style="3" customWidth="1"/>
    <col min="9989" max="9994" width="12.140625" style="3" customWidth="1"/>
    <col min="9995" max="10237" width="9.140625" style="3"/>
    <col min="10238" max="10242" width="0" style="3" hidden="1" customWidth="1"/>
    <col min="10243" max="10243" width="6.5703125" style="3" customWidth="1"/>
    <col min="10244" max="10244" width="69.28515625" style="3" customWidth="1"/>
    <col min="10245" max="10250" width="12.140625" style="3" customWidth="1"/>
    <col min="10251" max="10493" width="9.140625" style="3"/>
    <col min="10494" max="10498" width="0" style="3" hidden="1" customWidth="1"/>
    <col min="10499" max="10499" width="6.5703125" style="3" customWidth="1"/>
    <col min="10500" max="10500" width="69.28515625" style="3" customWidth="1"/>
    <col min="10501" max="10506" width="12.140625" style="3" customWidth="1"/>
    <col min="10507" max="10749" width="9.140625" style="3"/>
    <col min="10750" max="10754" width="0" style="3" hidden="1" customWidth="1"/>
    <col min="10755" max="10755" width="6.5703125" style="3" customWidth="1"/>
    <col min="10756" max="10756" width="69.28515625" style="3" customWidth="1"/>
    <col min="10757" max="10762" width="12.140625" style="3" customWidth="1"/>
    <col min="10763" max="11005" width="9.140625" style="3"/>
    <col min="11006" max="11010" width="0" style="3" hidden="1" customWidth="1"/>
    <col min="11011" max="11011" width="6.5703125" style="3" customWidth="1"/>
    <col min="11012" max="11012" width="69.28515625" style="3" customWidth="1"/>
    <col min="11013" max="11018" width="12.140625" style="3" customWidth="1"/>
    <col min="11019" max="11261" width="9.140625" style="3"/>
    <col min="11262" max="11266" width="0" style="3" hidden="1" customWidth="1"/>
    <col min="11267" max="11267" width="6.5703125" style="3" customWidth="1"/>
    <col min="11268" max="11268" width="69.28515625" style="3" customWidth="1"/>
    <col min="11269" max="11274" width="12.140625" style="3" customWidth="1"/>
    <col min="11275" max="11517" width="9.140625" style="3"/>
    <col min="11518" max="11522" width="0" style="3" hidden="1" customWidth="1"/>
    <col min="11523" max="11523" width="6.5703125" style="3" customWidth="1"/>
    <col min="11524" max="11524" width="69.28515625" style="3" customWidth="1"/>
    <col min="11525" max="11530" width="12.140625" style="3" customWidth="1"/>
    <col min="11531" max="11773" width="9.140625" style="3"/>
    <col min="11774" max="11778" width="0" style="3" hidden="1" customWidth="1"/>
    <col min="11779" max="11779" width="6.5703125" style="3" customWidth="1"/>
    <col min="11780" max="11780" width="69.28515625" style="3" customWidth="1"/>
    <col min="11781" max="11786" width="12.140625" style="3" customWidth="1"/>
    <col min="11787" max="12029" width="9.140625" style="3"/>
    <col min="12030" max="12034" width="0" style="3" hidden="1" customWidth="1"/>
    <col min="12035" max="12035" width="6.5703125" style="3" customWidth="1"/>
    <col min="12036" max="12036" width="69.28515625" style="3" customWidth="1"/>
    <col min="12037" max="12042" width="12.140625" style="3" customWidth="1"/>
    <col min="12043" max="12285" width="9.140625" style="3"/>
    <col min="12286" max="12290" width="0" style="3" hidden="1" customWidth="1"/>
    <col min="12291" max="12291" width="6.5703125" style="3" customWidth="1"/>
    <col min="12292" max="12292" width="69.28515625" style="3" customWidth="1"/>
    <col min="12293" max="12298" width="12.140625" style="3" customWidth="1"/>
    <col min="12299" max="12541" width="9.140625" style="3"/>
    <col min="12542" max="12546" width="0" style="3" hidden="1" customWidth="1"/>
    <col min="12547" max="12547" width="6.5703125" style="3" customWidth="1"/>
    <col min="12548" max="12548" width="69.28515625" style="3" customWidth="1"/>
    <col min="12549" max="12554" width="12.140625" style="3" customWidth="1"/>
    <col min="12555" max="12797" width="9.140625" style="3"/>
    <col min="12798" max="12802" width="0" style="3" hidden="1" customWidth="1"/>
    <col min="12803" max="12803" width="6.5703125" style="3" customWidth="1"/>
    <col min="12804" max="12804" width="69.28515625" style="3" customWidth="1"/>
    <col min="12805" max="12810" width="12.140625" style="3" customWidth="1"/>
    <col min="12811" max="13053" width="9.140625" style="3"/>
    <col min="13054" max="13058" width="0" style="3" hidden="1" customWidth="1"/>
    <col min="13059" max="13059" width="6.5703125" style="3" customWidth="1"/>
    <col min="13060" max="13060" width="69.28515625" style="3" customWidth="1"/>
    <col min="13061" max="13066" width="12.140625" style="3" customWidth="1"/>
    <col min="13067" max="13309" width="9.140625" style="3"/>
    <col min="13310" max="13314" width="0" style="3" hidden="1" customWidth="1"/>
    <col min="13315" max="13315" width="6.5703125" style="3" customWidth="1"/>
    <col min="13316" max="13316" width="69.28515625" style="3" customWidth="1"/>
    <col min="13317" max="13322" width="12.140625" style="3" customWidth="1"/>
    <col min="13323" max="13565" width="9.140625" style="3"/>
    <col min="13566" max="13570" width="0" style="3" hidden="1" customWidth="1"/>
    <col min="13571" max="13571" width="6.5703125" style="3" customWidth="1"/>
    <col min="13572" max="13572" width="69.28515625" style="3" customWidth="1"/>
    <col min="13573" max="13578" width="12.140625" style="3" customWidth="1"/>
    <col min="13579" max="13821" width="9.140625" style="3"/>
    <col min="13822" max="13826" width="0" style="3" hidden="1" customWidth="1"/>
    <col min="13827" max="13827" width="6.5703125" style="3" customWidth="1"/>
    <col min="13828" max="13828" width="69.28515625" style="3" customWidth="1"/>
    <col min="13829" max="13834" width="12.140625" style="3" customWidth="1"/>
    <col min="13835" max="14077" width="9.140625" style="3"/>
    <col min="14078" max="14082" width="0" style="3" hidden="1" customWidth="1"/>
    <col min="14083" max="14083" width="6.5703125" style="3" customWidth="1"/>
    <col min="14084" max="14084" width="69.28515625" style="3" customWidth="1"/>
    <col min="14085" max="14090" width="12.140625" style="3" customWidth="1"/>
    <col min="14091" max="14333" width="9.140625" style="3"/>
    <col min="14334" max="14338" width="0" style="3" hidden="1" customWidth="1"/>
    <col min="14339" max="14339" width="6.5703125" style="3" customWidth="1"/>
    <col min="14340" max="14340" width="69.28515625" style="3" customWidth="1"/>
    <col min="14341" max="14346" width="12.140625" style="3" customWidth="1"/>
    <col min="14347" max="14589" width="9.140625" style="3"/>
    <col min="14590" max="14594" width="0" style="3" hidden="1" customWidth="1"/>
    <col min="14595" max="14595" width="6.5703125" style="3" customWidth="1"/>
    <col min="14596" max="14596" width="69.28515625" style="3" customWidth="1"/>
    <col min="14597" max="14602" width="12.140625" style="3" customWidth="1"/>
    <col min="14603" max="14845" width="9.140625" style="3"/>
    <col min="14846" max="14850" width="0" style="3" hidden="1" customWidth="1"/>
    <col min="14851" max="14851" width="6.5703125" style="3" customWidth="1"/>
    <col min="14852" max="14852" width="69.28515625" style="3" customWidth="1"/>
    <col min="14853" max="14858" width="12.140625" style="3" customWidth="1"/>
    <col min="14859" max="15101" width="9.140625" style="3"/>
    <col min="15102" max="15106" width="0" style="3" hidden="1" customWidth="1"/>
    <col min="15107" max="15107" width="6.5703125" style="3" customWidth="1"/>
    <col min="15108" max="15108" width="69.28515625" style="3" customWidth="1"/>
    <col min="15109" max="15114" width="12.140625" style="3" customWidth="1"/>
    <col min="15115" max="15357" width="9.140625" style="3"/>
    <col min="15358" max="15362" width="0" style="3" hidden="1" customWidth="1"/>
    <col min="15363" max="15363" width="6.5703125" style="3" customWidth="1"/>
    <col min="15364" max="15364" width="69.28515625" style="3" customWidth="1"/>
    <col min="15365" max="15370" width="12.140625" style="3" customWidth="1"/>
    <col min="15371" max="15613" width="9.140625" style="3"/>
    <col min="15614" max="15618" width="0" style="3" hidden="1" customWidth="1"/>
    <col min="15619" max="15619" width="6.5703125" style="3" customWidth="1"/>
    <col min="15620" max="15620" width="69.28515625" style="3" customWidth="1"/>
    <col min="15621" max="15626" width="12.140625" style="3" customWidth="1"/>
    <col min="15627" max="15869" width="9.140625" style="3"/>
    <col min="15870" max="15874" width="0" style="3" hidden="1" customWidth="1"/>
    <col min="15875" max="15875" width="6.5703125" style="3" customWidth="1"/>
    <col min="15876" max="15876" width="69.28515625" style="3" customWidth="1"/>
    <col min="15877" max="15882" width="12.140625" style="3" customWidth="1"/>
    <col min="15883" max="16125" width="9.140625" style="3"/>
    <col min="16126" max="16130" width="0" style="3" hidden="1" customWidth="1"/>
    <col min="16131" max="16131" width="6.5703125" style="3" customWidth="1"/>
    <col min="16132" max="16132" width="69.28515625" style="3" customWidth="1"/>
    <col min="16133" max="16138" width="12.140625" style="3" customWidth="1"/>
    <col min="16139" max="16384" width="9.140625" style="3"/>
  </cols>
  <sheetData>
    <row r="1" spans="1:10" ht="30.75" customHeight="1" x14ac:dyDescent="0.25">
      <c r="A1" s="269" t="s">
        <v>734</v>
      </c>
      <c r="B1" s="269"/>
      <c r="C1" s="269"/>
      <c r="D1" s="269"/>
      <c r="E1" s="269"/>
      <c r="F1" s="270" t="s">
        <v>1144</v>
      </c>
      <c r="G1" s="270"/>
      <c r="H1" s="270"/>
      <c r="I1" s="270"/>
      <c r="J1" s="270"/>
    </row>
    <row r="2" spans="1:10" ht="24" customHeight="1" x14ac:dyDescent="0.25">
      <c r="A2" s="193"/>
      <c r="B2" s="193"/>
      <c r="C2" s="193"/>
      <c r="D2" s="193"/>
      <c r="E2" s="193"/>
      <c r="F2" s="193"/>
      <c r="G2" s="274" t="s">
        <v>763</v>
      </c>
      <c r="H2" s="274"/>
      <c r="I2" s="274"/>
      <c r="J2" s="274"/>
    </row>
    <row r="3" spans="1:10" ht="22.5" customHeight="1" x14ac:dyDescent="0.25">
      <c r="A3" s="194"/>
      <c r="B3" s="11"/>
      <c r="C3" s="9" t="s">
        <v>735</v>
      </c>
      <c r="D3" s="9" t="s">
        <v>736</v>
      </c>
      <c r="E3" s="9" t="s">
        <v>737</v>
      </c>
      <c r="F3" s="271" t="s">
        <v>0</v>
      </c>
      <c r="G3" s="271" t="s">
        <v>1</v>
      </c>
      <c r="H3" s="273" t="s">
        <v>942</v>
      </c>
      <c r="I3" s="273"/>
      <c r="J3" s="273"/>
    </row>
    <row r="4" spans="1:10" ht="22.5" customHeight="1" x14ac:dyDescent="0.25">
      <c r="A4" s="9">
        <v>1</v>
      </c>
      <c r="B4" s="10" t="s">
        <v>738</v>
      </c>
      <c r="C4" s="11"/>
      <c r="D4" s="12"/>
      <c r="E4" s="12"/>
      <c r="F4" s="272"/>
      <c r="G4" s="272"/>
      <c r="H4" s="60" t="s">
        <v>4</v>
      </c>
      <c r="I4" s="60" t="s">
        <v>3</v>
      </c>
      <c r="J4" s="60" t="s">
        <v>5</v>
      </c>
    </row>
    <row r="5" spans="1:10" ht="27" customHeight="1" x14ac:dyDescent="0.25">
      <c r="A5" s="225" t="s">
        <v>739</v>
      </c>
      <c r="B5" s="226"/>
      <c r="C5" s="226"/>
      <c r="D5" s="226"/>
      <c r="E5" s="227"/>
      <c r="F5" s="9">
        <v>1</v>
      </c>
      <c r="G5" s="10" t="s">
        <v>738</v>
      </c>
      <c r="H5" s="11"/>
      <c r="I5" s="12"/>
      <c r="J5" s="12"/>
    </row>
    <row r="6" spans="1:10" ht="106.5" customHeight="1" x14ac:dyDescent="0.25">
      <c r="A6" s="13" t="s">
        <v>454</v>
      </c>
      <c r="B6" s="14" t="s">
        <v>740</v>
      </c>
      <c r="C6" s="195">
        <v>1000</v>
      </c>
      <c r="D6" s="195">
        <v>500</v>
      </c>
      <c r="E6" s="195">
        <v>300</v>
      </c>
      <c r="F6" s="13" t="s">
        <v>454</v>
      </c>
      <c r="G6" s="14" t="s">
        <v>740</v>
      </c>
      <c r="H6" s="15">
        <f>1000*1.1*70%</f>
        <v>770</v>
      </c>
      <c r="I6" s="15">
        <f>500*1.1*70%</f>
        <v>385</v>
      </c>
      <c r="J6" s="15">
        <f>300*1.1*70%</f>
        <v>230.99999999999997</v>
      </c>
    </row>
    <row r="7" spans="1:10" ht="51" customHeight="1" x14ac:dyDescent="0.25">
      <c r="A7" s="13" t="s">
        <v>454</v>
      </c>
      <c r="B7" s="14" t="s">
        <v>741</v>
      </c>
      <c r="C7" s="195">
        <v>600</v>
      </c>
      <c r="D7" s="195">
        <v>400</v>
      </c>
      <c r="E7" s="195">
        <v>200</v>
      </c>
      <c r="F7" s="13" t="s">
        <v>454</v>
      </c>
      <c r="G7" s="14" t="s">
        <v>741</v>
      </c>
      <c r="H7" s="15">
        <f>600*1.1*70%</f>
        <v>461.99999999999994</v>
      </c>
      <c r="I7" s="15">
        <f>400*1.1*70%</f>
        <v>308</v>
      </c>
      <c r="J7" s="15">
        <f>200*1.1*70%</f>
        <v>154</v>
      </c>
    </row>
    <row r="8" spans="1:10" ht="24.95" customHeight="1" x14ac:dyDescent="0.25">
      <c r="A8" s="13" t="s">
        <v>454</v>
      </c>
      <c r="B8" s="14" t="s">
        <v>742</v>
      </c>
      <c r="C8" s="195">
        <v>250</v>
      </c>
      <c r="D8" s="195">
        <v>130</v>
      </c>
      <c r="E8" s="195">
        <v>90</v>
      </c>
      <c r="F8" s="13" t="s">
        <v>454</v>
      </c>
      <c r="G8" s="14" t="s">
        <v>742</v>
      </c>
      <c r="H8" s="16">
        <f>250*1.1*70%</f>
        <v>192.5</v>
      </c>
      <c r="I8" s="16">
        <f>130*1.1*70%</f>
        <v>100.1</v>
      </c>
      <c r="J8" s="16">
        <f>90*1.1*70%</f>
        <v>69.300000000000011</v>
      </c>
    </row>
    <row r="9" spans="1:10" ht="24.95" customHeight="1" x14ac:dyDescent="0.25">
      <c r="A9" s="13" t="s">
        <v>454</v>
      </c>
      <c r="B9" s="14" t="s">
        <v>743</v>
      </c>
      <c r="C9" s="195">
        <v>100</v>
      </c>
      <c r="D9" s="195">
        <v>80</v>
      </c>
      <c r="E9" s="195">
        <v>60</v>
      </c>
      <c r="F9" s="13" t="s">
        <v>454</v>
      </c>
      <c r="G9" s="14" t="s">
        <v>743</v>
      </c>
      <c r="H9" s="16">
        <f>100*1.1*70%</f>
        <v>77</v>
      </c>
      <c r="I9" s="16">
        <f>80*1.1*70%</f>
        <v>61.599999999999994</v>
      </c>
      <c r="J9" s="16">
        <f>60*1.1*70%</f>
        <v>46.199999999999996</v>
      </c>
    </row>
    <row r="10" spans="1:10" ht="24.95" customHeight="1" x14ac:dyDescent="0.25">
      <c r="A10" s="9">
        <v>2</v>
      </c>
      <c r="B10" s="10" t="s">
        <v>744</v>
      </c>
      <c r="C10" s="195"/>
      <c r="D10" s="195"/>
      <c r="E10" s="195"/>
      <c r="F10" s="9">
        <v>2</v>
      </c>
      <c r="G10" s="10" t="s">
        <v>744</v>
      </c>
      <c r="H10" s="15"/>
      <c r="I10" s="15"/>
      <c r="J10" s="15"/>
    </row>
    <row r="11" spans="1:10" ht="88.5" customHeight="1" x14ac:dyDescent="0.25">
      <c r="A11" s="13" t="s">
        <v>454</v>
      </c>
      <c r="B11" s="14" t="s">
        <v>745</v>
      </c>
      <c r="C11" s="195">
        <v>250</v>
      </c>
      <c r="D11" s="195">
        <v>130</v>
      </c>
      <c r="E11" s="195">
        <v>90</v>
      </c>
      <c r="F11" s="13" t="s">
        <v>454</v>
      </c>
      <c r="G11" s="14" t="s">
        <v>745</v>
      </c>
      <c r="H11" s="17">
        <f>250*1.1*70%</f>
        <v>192.5</v>
      </c>
      <c r="I11" s="17">
        <f>130*1.1*70%</f>
        <v>100.1</v>
      </c>
      <c r="J11" s="17">
        <f>90*1.1*70%</f>
        <v>69.300000000000011</v>
      </c>
    </row>
    <row r="12" spans="1:10" ht="24.95" customHeight="1" x14ac:dyDescent="0.25">
      <c r="A12" s="13" t="s">
        <v>454</v>
      </c>
      <c r="B12" s="18" t="s">
        <v>746</v>
      </c>
      <c r="C12" s="195">
        <v>100</v>
      </c>
      <c r="D12" s="195">
        <v>80</v>
      </c>
      <c r="E12" s="195">
        <v>60</v>
      </c>
      <c r="F12" s="13" t="s">
        <v>454</v>
      </c>
      <c r="G12" s="18" t="s">
        <v>746</v>
      </c>
      <c r="H12" s="17">
        <f>100*1.1*70%</f>
        <v>77</v>
      </c>
      <c r="I12" s="17">
        <f>80*1.1*70%</f>
        <v>61.599999999999994</v>
      </c>
      <c r="J12" s="17">
        <f>60*1.1*70%</f>
        <v>46.199999999999996</v>
      </c>
    </row>
    <row r="13" spans="1:10" ht="24.95" customHeight="1" x14ac:dyDescent="0.25">
      <c r="A13" s="9">
        <v>3</v>
      </c>
      <c r="B13" s="10" t="s">
        <v>747</v>
      </c>
      <c r="C13" s="195"/>
      <c r="D13" s="195"/>
      <c r="E13" s="195"/>
      <c r="F13" s="9">
        <v>3</v>
      </c>
      <c r="G13" s="10" t="s">
        <v>747</v>
      </c>
      <c r="H13" s="15"/>
      <c r="I13" s="15"/>
      <c r="J13" s="15"/>
    </row>
    <row r="14" spans="1:10" ht="81" customHeight="1" x14ac:dyDescent="0.25">
      <c r="A14" s="9"/>
      <c r="B14" s="14" t="s">
        <v>748</v>
      </c>
      <c r="C14" s="195">
        <v>250</v>
      </c>
      <c r="D14" s="195">
        <v>130</v>
      </c>
      <c r="E14" s="195">
        <v>90</v>
      </c>
      <c r="F14" s="13" t="s">
        <v>454</v>
      </c>
      <c r="G14" s="14" t="s">
        <v>748</v>
      </c>
      <c r="H14" s="17">
        <f>250*1.1*70%</f>
        <v>192.5</v>
      </c>
      <c r="I14" s="17">
        <f>130*1.1*70%</f>
        <v>100.1</v>
      </c>
      <c r="J14" s="17">
        <f>90*1.1*70%</f>
        <v>69.300000000000011</v>
      </c>
    </row>
    <row r="15" spans="1:10" ht="24.95" customHeight="1" x14ac:dyDescent="0.25">
      <c r="A15" s="13" t="s">
        <v>454</v>
      </c>
      <c r="B15" s="18" t="s">
        <v>746</v>
      </c>
      <c r="C15" s="195">
        <v>100</v>
      </c>
      <c r="D15" s="195">
        <v>80</v>
      </c>
      <c r="E15" s="195">
        <v>60</v>
      </c>
      <c r="F15" s="13" t="s">
        <v>454</v>
      </c>
      <c r="G15" s="18" t="s">
        <v>746</v>
      </c>
      <c r="H15" s="17">
        <f>100*1.1*70%</f>
        <v>77</v>
      </c>
      <c r="I15" s="17">
        <f>80*1.1*70%</f>
        <v>61.599999999999994</v>
      </c>
      <c r="J15" s="17">
        <f>60*1.1*70%</f>
        <v>46.199999999999996</v>
      </c>
    </row>
    <row r="16" spans="1:10" ht="24.95" customHeight="1" x14ac:dyDescent="0.25">
      <c r="A16" s="9">
        <v>4</v>
      </c>
      <c r="B16" s="10" t="s">
        <v>749</v>
      </c>
      <c r="C16" s="195"/>
      <c r="D16" s="195"/>
      <c r="E16" s="195"/>
      <c r="F16" s="9">
        <v>4</v>
      </c>
      <c r="G16" s="10" t="s">
        <v>749</v>
      </c>
      <c r="H16" s="15"/>
      <c r="I16" s="15"/>
      <c r="J16" s="15"/>
    </row>
    <row r="17" spans="1:10" ht="96" customHeight="1" x14ac:dyDescent="0.25">
      <c r="A17" s="13" t="s">
        <v>454</v>
      </c>
      <c r="B17" s="14" t="s">
        <v>750</v>
      </c>
      <c r="C17" s="195">
        <v>150</v>
      </c>
      <c r="D17" s="195">
        <v>90</v>
      </c>
      <c r="E17" s="195">
        <v>70</v>
      </c>
      <c r="F17" s="13" t="s">
        <v>454</v>
      </c>
      <c r="G17" s="14" t="s">
        <v>750</v>
      </c>
      <c r="H17" s="17">
        <f>150*1.1*70%</f>
        <v>115.49999999999999</v>
      </c>
      <c r="I17" s="17">
        <f>90*1.1*70%</f>
        <v>69.300000000000011</v>
      </c>
      <c r="J17" s="17">
        <f>70*1.1*70%</f>
        <v>53.9</v>
      </c>
    </row>
    <row r="18" spans="1:10" ht="24.95" customHeight="1" x14ac:dyDescent="0.25">
      <c r="A18" s="13" t="s">
        <v>454</v>
      </c>
      <c r="B18" s="18" t="s">
        <v>746</v>
      </c>
      <c r="C18" s="195">
        <v>100</v>
      </c>
      <c r="D18" s="195">
        <v>90</v>
      </c>
      <c r="E18" s="195">
        <v>80</v>
      </c>
      <c r="F18" s="13" t="s">
        <v>454</v>
      </c>
      <c r="G18" s="18" t="s">
        <v>746</v>
      </c>
      <c r="H18" s="17">
        <f>100*1.1*70%</f>
        <v>77</v>
      </c>
      <c r="I18" s="17">
        <f>90*1.1*70%</f>
        <v>69.300000000000011</v>
      </c>
      <c r="J18" s="17">
        <f>80*1.1*70%</f>
        <v>61.599999999999994</v>
      </c>
    </row>
    <row r="19" spans="1:10" ht="24.95" customHeight="1" x14ac:dyDescent="0.25">
      <c r="A19" s="9">
        <v>5</v>
      </c>
      <c r="B19" s="10" t="s">
        <v>751</v>
      </c>
      <c r="C19" s="195"/>
      <c r="D19" s="195"/>
      <c r="E19" s="195"/>
      <c r="F19" s="9">
        <v>5</v>
      </c>
      <c r="G19" s="10" t="s">
        <v>751</v>
      </c>
      <c r="H19" s="15"/>
      <c r="I19" s="15"/>
      <c r="J19" s="15"/>
    </row>
    <row r="20" spans="1:10" ht="42" customHeight="1" x14ac:dyDescent="0.25">
      <c r="A20" s="13" t="s">
        <v>454</v>
      </c>
      <c r="B20" s="14" t="s">
        <v>752</v>
      </c>
      <c r="C20" s="195">
        <v>150</v>
      </c>
      <c r="D20" s="195">
        <v>90</v>
      </c>
      <c r="E20" s="195">
        <v>70</v>
      </c>
      <c r="F20" s="13" t="s">
        <v>454</v>
      </c>
      <c r="G20" s="14" t="s">
        <v>752</v>
      </c>
      <c r="H20" s="17">
        <f>150*1.1*70%</f>
        <v>115.49999999999999</v>
      </c>
      <c r="I20" s="17">
        <f>90*1.1*70%</f>
        <v>69.300000000000011</v>
      </c>
      <c r="J20" s="17">
        <f>70*1.1*70%</f>
        <v>53.9</v>
      </c>
    </row>
    <row r="21" spans="1:10" ht="24.95" customHeight="1" x14ac:dyDescent="0.25">
      <c r="A21" s="13" t="s">
        <v>454</v>
      </c>
      <c r="B21" s="18" t="s">
        <v>746</v>
      </c>
      <c r="C21" s="195">
        <v>100</v>
      </c>
      <c r="D21" s="195">
        <v>80</v>
      </c>
      <c r="E21" s="195">
        <v>60</v>
      </c>
      <c r="F21" s="13" t="s">
        <v>454</v>
      </c>
      <c r="G21" s="18" t="s">
        <v>746</v>
      </c>
      <c r="H21" s="17">
        <f>100*1.1*70%</f>
        <v>77</v>
      </c>
      <c r="I21" s="17">
        <f>80*1.1*70%</f>
        <v>61.599999999999994</v>
      </c>
      <c r="J21" s="17">
        <f>60*1.1*70%</f>
        <v>46.199999999999996</v>
      </c>
    </row>
    <row r="22" spans="1:10" ht="24.95" customHeight="1" x14ac:dyDescent="0.25">
      <c r="A22" s="9">
        <v>7</v>
      </c>
      <c r="B22" s="10" t="s">
        <v>753</v>
      </c>
      <c r="C22" s="195"/>
      <c r="D22" s="195"/>
      <c r="E22" s="195"/>
      <c r="F22" s="9">
        <v>6</v>
      </c>
      <c r="G22" s="10" t="s">
        <v>753</v>
      </c>
      <c r="H22" s="15"/>
      <c r="I22" s="15"/>
      <c r="J22" s="15"/>
    </row>
    <row r="23" spans="1:10" ht="37.5" customHeight="1" x14ac:dyDescent="0.25">
      <c r="A23" s="13" t="s">
        <v>454</v>
      </c>
      <c r="B23" s="14" t="s">
        <v>754</v>
      </c>
      <c r="C23" s="195">
        <v>150</v>
      </c>
      <c r="D23" s="195">
        <v>90</v>
      </c>
      <c r="E23" s="195">
        <v>70</v>
      </c>
      <c r="F23" s="13" t="s">
        <v>454</v>
      </c>
      <c r="G23" s="14" t="s">
        <v>754</v>
      </c>
      <c r="H23" s="17">
        <f>150*1.1*70%</f>
        <v>115.49999999999999</v>
      </c>
      <c r="I23" s="17">
        <f>90*1.1*70%</f>
        <v>69.300000000000011</v>
      </c>
      <c r="J23" s="17">
        <f>70*1.1*70%</f>
        <v>53.9</v>
      </c>
    </row>
    <row r="24" spans="1:10" ht="69.75" customHeight="1" x14ac:dyDescent="0.25">
      <c r="A24" s="13" t="s">
        <v>454</v>
      </c>
      <c r="B24" s="14" t="s">
        <v>755</v>
      </c>
      <c r="C24" s="195">
        <v>130</v>
      </c>
      <c r="D24" s="195">
        <v>80</v>
      </c>
      <c r="E24" s="195">
        <v>60</v>
      </c>
      <c r="F24" s="13" t="s">
        <v>454</v>
      </c>
      <c r="G24" s="14" t="s">
        <v>755</v>
      </c>
      <c r="H24" s="17">
        <f>130*1.1*70%</f>
        <v>100.1</v>
      </c>
      <c r="I24" s="17">
        <f>80*1.1*70%</f>
        <v>61.599999999999994</v>
      </c>
      <c r="J24" s="17">
        <f>60*1.1*70%</f>
        <v>46.199999999999996</v>
      </c>
    </row>
    <row r="25" spans="1:10" ht="24.95" customHeight="1" x14ac:dyDescent="0.25">
      <c r="A25" s="13" t="s">
        <v>454</v>
      </c>
      <c r="B25" s="18" t="s">
        <v>746</v>
      </c>
      <c r="C25" s="195">
        <v>100</v>
      </c>
      <c r="D25" s="195">
        <v>80</v>
      </c>
      <c r="E25" s="195">
        <v>60</v>
      </c>
      <c r="F25" s="13" t="s">
        <v>454</v>
      </c>
      <c r="G25" s="18" t="s">
        <v>746</v>
      </c>
      <c r="H25" s="17">
        <f>100*1.1*70%</f>
        <v>77</v>
      </c>
      <c r="I25" s="17">
        <f>80*1.1*70%</f>
        <v>61.599999999999994</v>
      </c>
      <c r="J25" s="17">
        <f>60*1.1*70%</f>
        <v>46.199999999999996</v>
      </c>
    </row>
    <row r="26" spans="1:10" ht="24.95" customHeight="1" x14ac:dyDescent="0.25">
      <c r="A26" s="9">
        <v>8</v>
      </c>
      <c r="B26" s="10" t="s">
        <v>756</v>
      </c>
      <c r="C26" s="195"/>
      <c r="D26" s="195"/>
      <c r="E26" s="195"/>
      <c r="F26" s="9">
        <v>7</v>
      </c>
      <c r="G26" s="10" t="s">
        <v>756</v>
      </c>
      <c r="H26" s="15"/>
      <c r="I26" s="15"/>
      <c r="J26" s="15"/>
    </row>
    <row r="27" spans="1:10" ht="72.75" customHeight="1" x14ac:dyDescent="0.25">
      <c r="A27" s="13" t="s">
        <v>454</v>
      </c>
      <c r="B27" s="14" t="s">
        <v>757</v>
      </c>
      <c r="C27" s="195">
        <v>150</v>
      </c>
      <c r="D27" s="195">
        <v>90</v>
      </c>
      <c r="E27" s="195">
        <v>70</v>
      </c>
      <c r="F27" s="13" t="s">
        <v>454</v>
      </c>
      <c r="G27" s="14" t="s">
        <v>757</v>
      </c>
      <c r="H27" s="17">
        <f>150*1.1*70%</f>
        <v>115.49999999999999</v>
      </c>
      <c r="I27" s="17">
        <f>90*1.1*70%</f>
        <v>69.300000000000011</v>
      </c>
      <c r="J27" s="17">
        <f>70*1.1*70%</f>
        <v>53.9</v>
      </c>
    </row>
    <row r="28" spans="1:10" ht="24.95" customHeight="1" x14ac:dyDescent="0.25">
      <c r="A28" s="13" t="s">
        <v>454</v>
      </c>
      <c r="B28" s="18" t="s">
        <v>746</v>
      </c>
      <c r="C28" s="195">
        <v>100</v>
      </c>
      <c r="D28" s="195">
        <v>80</v>
      </c>
      <c r="E28" s="195">
        <v>60</v>
      </c>
      <c r="F28" s="13" t="s">
        <v>454</v>
      </c>
      <c r="G28" s="18" t="s">
        <v>746</v>
      </c>
      <c r="H28" s="17">
        <f>100*1.1*70%</f>
        <v>77</v>
      </c>
      <c r="I28" s="17">
        <f>80*1.1*70%</f>
        <v>61.599999999999994</v>
      </c>
      <c r="J28" s="17">
        <f>60*1.1*70%</f>
        <v>46.199999999999996</v>
      </c>
    </row>
    <row r="29" spans="1:10" ht="24.95" customHeight="1" x14ac:dyDescent="0.25">
      <c r="A29" s="9">
        <v>9</v>
      </c>
      <c r="B29" s="10" t="s">
        <v>758</v>
      </c>
      <c r="C29" s="195"/>
      <c r="D29" s="195"/>
      <c r="E29" s="195"/>
      <c r="F29" s="9">
        <v>8</v>
      </c>
      <c r="G29" s="10" t="s">
        <v>758</v>
      </c>
      <c r="H29" s="15"/>
      <c r="I29" s="15"/>
      <c r="J29" s="15"/>
    </row>
    <row r="30" spans="1:10" ht="36.75" customHeight="1" x14ac:dyDescent="0.25">
      <c r="A30" s="9" t="s">
        <v>454</v>
      </c>
      <c r="B30" s="19" t="s">
        <v>752</v>
      </c>
      <c r="C30" s="195">
        <v>120</v>
      </c>
      <c r="D30" s="195">
        <v>90</v>
      </c>
      <c r="E30" s="195">
        <v>80</v>
      </c>
      <c r="F30" s="13" t="s">
        <v>454</v>
      </c>
      <c r="G30" s="19" t="s">
        <v>752</v>
      </c>
      <c r="H30" s="17">
        <f>120*1.1*70%</f>
        <v>92.399999999999991</v>
      </c>
      <c r="I30" s="17">
        <f>90*1.1*70%</f>
        <v>69.300000000000011</v>
      </c>
      <c r="J30" s="17">
        <f>80*1.1*70%</f>
        <v>61.599999999999994</v>
      </c>
    </row>
    <row r="31" spans="1:10" ht="24.95" customHeight="1" x14ac:dyDescent="0.25">
      <c r="A31" s="9" t="s">
        <v>454</v>
      </c>
      <c r="B31" s="18" t="s">
        <v>746</v>
      </c>
      <c r="C31" s="195">
        <v>100</v>
      </c>
      <c r="D31" s="195">
        <v>80</v>
      </c>
      <c r="E31" s="195">
        <v>60</v>
      </c>
      <c r="F31" s="13" t="s">
        <v>454</v>
      </c>
      <c r="G31" s="18" t="s">
        <v>746</v>
      </c>
      <c r="H31" s="17">
        <f>100*1.1*70%</f>
        <v>77</v>
      </c>
      <c r="I31" s="17">
        <f>80*1.1*70%</f>
        <v>61.599999999999994</v>
      </c>
      <c r="J31" s="17">
        <f>60*1.1*70%</f>
        <v>46.199999999999996</v>
      </c>
    </row>
    <row r="32" spans="1:10" ht="24.95" customHeight="1" x14ac:dyDescent="0.25">
      <c r="A32" s="9">
        <v>10</v>
      </c>
      <c r="B32" s="10" t="s">
        <v>759</v>
      </c>
      <c r="C32" s="195"/>
      <c r="D32" s="195"/>
      <c r="E32" s="195"/>
      <c r="F32" s="9">
        <v>9</v>
      </c>
      <c r="G32" s="10" t="s">
        <v>759</v>
      </c>
      <c r="H32" s="15"/>
      <c r="I32" s="15"/>
      <c r="J32" s="15"/>
    </row>
    <row r="33" spans="1:10" ht="44.25" customHeight="1" x14ac:dyDescent="0.25">
      <c r="A33" s="9" t="s">
        <v>454</v>
      </c>
      <c r="B33" s="14" t="s">
        <v>760</v>
      </c>
      <c r="C33" s="195">
        <v>120</v>
      </c>
      <c r="D33" s="195">
        <v>90</v>
      </c>
      <c r="E33" s="195">
        <v>80</v>
      </c>
      <c r="F33" s="13" t="s">
        <v>454</v>
      </c>
      <c r="G33" s="14" t="s">
        <v>760</v>
      </c>
      <c r="H33" s="17">
        <f>120*1.1*70%</f>
        <v>92.399999999999991</v>
      </c>
      <c r="I33" s="17">
        <f>90*1.1*70%</f>
        <v>69.300000000000011</v>
      </c>
      <c r="J33" s="17">
        <f>80*1.1*70%</f>
        <v>61.599999999999994</v>
      </c>
    </row>
    <row r="34" spans="1:10" ht="24.95" customHeight="1" x14ac:dyDescent="0.25">
      <c r="A34" s="9" t="s">
        <v>454</v>
      </c>
      <c r="B34" s="18" t="s">
        <v>746</v>
      </c>
      <c r="C34" s="195">
        <v>100</v>
      </c>
      <c r="D34" s="195">
        <v>80</v>
      </c>
      <c r="E34" s="195">
        <v>60</v>
      </c>
      <c r="F34" s="13" t="s">
        <v>454</v>
      </c>
      <c r="G34" s="18" t="s">
        <v>746</v>
      </c>
      <c r="H34" s="17">
        <f>100*1.1*70%</f>
        <v>77</v>
      </c>
      <c r="I34" s="17">
        <f>80*1.1*70%</f>
        <v>61.599999999999994</v>
      </c>
      <c r="J34" s="17">
        <f>60*1.1*70%</f>
        <v>46.199999999999996</v>
      </c>
    </row>
    <row r="35" spans="1:10" ht="24.95" customHeight="1" x14ac:dyDescent="0.25">
      <c r="A35" s="9">
        <v>11</v>
      </c>
      <c r="B35" s="10" t="s">
        <v>761</v>
      </c>
      <c r="C35" s="195"/>
      <c r="D35" s="195"/>
      <c r="E35" s="195"/>
      <c r="F35" s="9">
        <v>10</v>
      </c>
      <c r="G35" s="10" t="s">
        <v>761</v>
      </c>
      <c r="H35" s="15"/>
      <c r="I35" s="15"/>
      <c r="J35" s="15"/>
    </row>
    <row r="36" spans="1:10" ht="42.75" customHeight="1" x14ac:dyDescent="0.25">
      <c r="A36" s="13" t="s">
        <v>454</v>
      </c>
      <c r="B36" s="14" t="s">
        <v>760</v>
      </c>
      <c r="C36" s="195">
        <v>120</v>
      </c>
      <c r="D36" s="195">
        <v>90</v>
      </c>
      <c r="E36" s="195">
        <v>80</v>
      </c>
      <c r="F36" s="13" t="s">
        <v>454</v>
      </c>
      <c r="G36" s="14" t="s">
        <v>760</v>
      </c>
      <c r="H36" s="17">
        <f>120*1.1*70%</f>
        <v>92.399999999999991</v>
      </c>
      <c r="I36" s="17">
        <f>90*1.1*70%</f>
        <v>69.300000000000011</v>
      </c>
      <c r="J36" s="17">
        <f>80*1.1*70%</f>
        <v>61.599999999999994</v>
      </c>
    </row>
    <row r="37" spans="1:10" ht="24.95" customHeight="1" x14ac:dyDescent="0.25">
      <c r="A37" s="196" t="s">
        <v>454</v>
      </c>
      <c r="B37" s="197" t="s">
        <v>746</v>
      </c>
      <c r="C37" s="198">
        <v>100</v>
      </c>
      <c r="D37" s="198">
        <v>80</v>
      </c>
      <c r="E37" s="198">
        <v>60</v>
      </c>
      <c r="F37" s="13" t="s">
        <v>454</v>
      </c>
      <c r="G37" s="18" t="s">
        <v>746</v>
      </c>
      <c r="H37" s="17">
        <f>100*1.1*70%</f>
        <v>77</v>
      </c>
      <c r="I37" s="17">
        <f>80*1.1*70%</f>
        <v>61.599999999999994</v>
      </c>
      <c r="J37" s="17">
        <f>60*1.1*70%</f>
        <v>46.199999999999996</v>
      </c>
    </row>
    <row r="38" spans="1:10" ht="24.95" customHeight="1" x14ac:dyDescent="0.25">
      <c r="A38" s="9">
        <v>12</v>
      </c>
      <c r="B38" s="10" t="s">
        <v>762</v>
      </c>
      <c r="C38" s="195"/>
      <c r="D38" s="195"/>
      <c r="E38" s="195"/>
      <c r="F38" s="9">
        <v>11</v>
      </c>
      <c r="G38" s="10" t="s">
        <v>762</v>
      </c>
      <c r="H38" s="17"/>
      <c r="I38" s="17"/>
      <c r="J38" s="17"/>
    </row>
    <row r="39" spans="1:10" ht="31.5" customHeight="1" x14ac:dyDescent="0.25">
      <c r="A39" s="13" t="s">
        <v>454</v>
      </c>
      <c r="B39" s="14" t="s">
        <v>760</v>
      </c>
      <c r="C39" s="195">
        <v>120</v>
      </c>
      <c r="D39" s="195">
        <v>90</v>
      </c>
      <c r="E39" s="195">
        <v>80</v>
      </c>
      <c r="F39" s="13" t="s">
        <v>454</v>
      </c>
      <c r="G39" s="14" t="s">
        <v>760</v>
      </c>
      <c r="H39" s="17">
        <f>120*1.1*70%</f>
        <v>92.399999999999991</v>
      </c>
      <c r="I39" s="17">
        <f>90*1.1*70%</f>
        <v>69.300000000000011</v>
      </c>
      <c r="J39" s="17">
        <f>80*1.1*70%</f>
        <v>61.599999999999994</v>
      </c>
    </row>
    <row r="40" spans="1:10" ht="31.5" customHeight="1" x14ac:dyDescent="0.25">
      <c r="A40" s="13" t="s">
        <v>454</v>
      </c>
      <c r="B40" s="18" t="s">
        <v>746</v>
      </c>
      <c r="C40" s="195">
        <v>100</v>
      </c>
      <c r="D40" s="195">
        <v>80</v>
      </c>
      <c r="E40" s="195">
        <v>60</v>
      </c>
      <c r="F40" s="13" t="s">
        <v>454</v>
      </c>
      <c r="G40" s="18" t="s">
        <v>746</v>
      </c>
      <c r="H40" s="17">
        <f>100*1.1*70%</f>
        <v>77</v>
      </c>
      <c r="I40" s="17">
        <f>80*1.1*70%</f>
        <v>61.599999999999994</v>
      </c>
      <c r="J40" s="17">
        <f>60*1.1*70%</f>
        <v>46.199999999999996</v>
      </c>
    </row>
    <row r="41" spans="1:10" x14ac:dyDescent="0.25">
      <c r="A41" s="5"/>
      <c r="B41" s="5"/>
      <c r="C41" s="199"/>
      <c r="D41" s="5"/>
      <c r="E41" s="5"/>
      <c r="F41" s="5"/>
      <c r="H41" s="5"/>
      <c r="I41" s="5"/>
      <c r="J41" s="5"/>
    </row>
    <row r="42" spans="1:10" x14ac:dyDescent="0.25">
      <c r="A42" s="199"/>
      <c r="B42" s="5"/>
      <c r="C42" s="199"/>
      <c r="D42" s="5"/>
      <c r="E42" s="5"/>
      <c r="F42" s="5"/>
      <c r="H42" s="5"/>
      <c r="I42" s="5"/>
      <c r="J42" s="5"/>
    </row>
    <row r="43" spans="1:10" x14ac:dyDescent="0.25">
      <c r="A43" s="199"/>
      <c r="B43" s="5"/>
      <c r="C43" s="199"/>
      <c r="D43" s="5"/>
      <c r="E43" s="5"/>
      <c r="F43" s="5"/>
      <c r="H43" s="5"/>
      <c r="I43" s="5"/>
      <c r="J43" s="5"/>
    </row>
    <row r="44" spans="1:10" x14ac:dyDescent="0.25">
      <c r="A44" s="199"/>
      <c r="B44" s="5"/>
      <c r="C44" s="199"/>
      <c r="D44" s="5"/>
      <c r="E44" s="5"/>
      <c r="F44" s="5"/>
      <c r="H44" s="5"/>
      <c r="I44" s="5"/>
      <c r="J44" s="5"/>
    </row>
  </sheetData>
  <mergeCells count="7">
    <mergeCell ref="A5:E5"/>
    <mergeCell ref="A1:E1"/>
    <mergeCell ref="F1:J1"/>
    <mergeCell ref="F3:F4"/>
    <mergeCell ref="G3:G4"/>
    <mergeCell ref="H3:J3"/>
    <mergeCell ref="G2:J2"/>
  </mergeCells>
  <pageMargins left="0.18740157499999999" right="0.19055118110236199" top="0.49055118110236201" bottom="0.19055118110236199" header="0.118110236220472" footer="0.118110236220472"/>
  <pageSetup paperSize="9" scale="95" firstPageNumber="48" orientation="portrait" useFirstPageNumber="1" r:id="rId1"/>
  <headerFooter>
    <oddHeader>&amp;C&amp;P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topLeftCell="N1" zoomScaleNormal="100" workbookViewId="0">
      <selection activeCell="S4" sqref="S4"/>
    </sheetView>
  </sheetViews>
  <sheetFormatPr defaultRowHeight="15" x14ac:dyDescent="0.25"/>
  <cols>
    <col min="1" max="1" width="6.140625" style="53" hidden="1" customWidth="1"/>
    <col min="2" max="2" width="38.42578125" style="53" hidden="1" customWidth="1"/>
    <col min="3" max="3" width="7" style="53" hidden="1" customWidth="1"/>
    <col min="4" max="4" width="9.140625" style="53" hidden="1" customWidth="1"/>
    <col min="5" max="5" width="6.7109375" style="53" hidden="1" customWidth="1"/>
    <col min="6" max="6" width="8" style="53" hidden="1" customWidth="1"/>
    <col min="7" max="7" width="5.42578125" style="53" hidden="1" customWidth="1"/>
    <col min="8" max="8" width="40.140625" style="53" hidden="1" customWidth="1"/>
    <col min="9" max="10" width="9.140625" style="53" hidden="1" customWidth="1"/>
    <col min="11" max="11" width="9.42578125" style="53" hidden="1" customWidth="1"/>
    <col min="12" max="12" width="10.140625" style="53" hidden="1" customWidth="1"/>
    <col min="13" max="13" width="20.85546875" style="53" hidden="1" customWidth="1"/>
    <col min="14" max="14" width="6.42578125" style="53" customWidth="1"/>
    <col min="15" max="15" width="55.28515625" style="53" customWidth="1"/>
    <col min="16" max="16" width="10.42578125" style="53" customWidth="1"/>
    <col min="17" max="17" width="11.7109375" style="53" customWidth="1"/>
    <col min="18" max="18" width="15" style="53" customWidth="1"/>
    <col min="19" max="251" width="9.140625" style="53"/>
    <col min="252" max="257" width="9.140625" style="53" customWidth="1"/>
    <col min="258" max="258" width="8.42578125" style="53" customWidth="1"/>
    <col min="259" max="259" width="40.140625" style="53" customWidth="1"/>
    <col min="260" max="261" width="9.140625" style="53"/>
    <col min="262" max="262" width="9.42578125" style="53" customWidth="1"/>
    <col min="263" max="263" width="10.140625" style="53" customWidth="1"/>
    <col min="264" max="264" width="9.140625" style="53" customWidth="1"/>
    <col min="265" max="265" width="10.28515625" style="53" customWidth="1"/>
    <col min="266" max="266" width="41" style="53" customWidth="1"/>
    <col min="267" max="507" width="9.140625" style="53"/>
    <col min="508" max="513" width="9.140625" style="53" customWidth="1"/>
    <col min="514" max="514" width="8.42578125" style="53" customWidth="1"/>
    <col min="515" max="515" width="40.140625" style="53" customWidth="1"/>
    <col min="516" max="517" width="9.140625" style="53"/>
    <col min="518" max="518" width="9.42578125" style="53" customWidth="1"/>
    <col min="519" max="519" width="10.140625" style="53" customWidth="1"/>
    <col min="520" max="520" width="9.140625" style="53" customWidth="1"/>
    <col min="521" max="521" width="10.28515625" style="53" customWidth="1"/>
    <col min="522" max="522" width="41" style="53" customWidth="1"/>
    <col min="523" max="763" width="9.140625" style="53"/>
    <col min="764" max="769" width="9.140625" style="53" customWidth="1"/>
    <col min="770" max="770" width="8.42578125" style="53" customWidth="1"/>
    <col min="771" max="771" width="40.140625" style="53" customWidth="1"/>
    <col min="772" max="773" width="9.140625" style="53"/>
    <col min="774" max="774" width="9.42578125" style="53" customWidth="1"/>
    <col min="775" max="775" width="10.140625" style="53" customWidth="1"/>
    <col min="776" max="776" width="9.140625" style="53" customWidth="1"/>
    <col min="777" max="777" width="10.28515625" style="53" customWidth="1"/>
    <col min="778" max="778" width="41" style="53" customWidth="1"/>
    <col min="779" max="1019" width="9.140625" style="53"/>
    <col min="1020" max="1025" width="9.140625" style="53" customWidth="1"/>
    <col min="1026" max="1026" width="8.42578125" style="53" customWidth="1"/>
    <col min="1027" max="1027" width="40.140625" style="53" customWidth="1"/>
    <col min="1028" max="1029" width="9.140625" style="53"/>
    <col min="1030" max="1030" width="9.42578125" style="53" customWidth="1"/>
    <col min="1031" max="1031" width="10.140625" style="53" customWidth="1"/>
    <col min="1032" max="1032" width="9.140625" style="53" customWidth="1"/>
    <col min="1033" max="1033" width="10.28515625" style="53" customWidth="1"/>
    <col min="1034" max="1034" width="41" style="53" customWidth="1"/>
    <col min="1035" max="1275" width="9.140625" style="53"/>
    <col min="1276" max="1281" width="9.140625" style="53" customWidth="1"/>
    <col min="1282" max="1282" width="8.42578125" style="53" customWidth="1"/>
    <col min="1283" max="1283" width="40.140625" style="53" customWidth="1"/>
    <col min="1284" max="1285" width="9.140625" style="53"/>
    <col min="1286" max="1286" width="9.42578125" style="53" customWidth="1"/>
    <col min="1287" max="1287" width="10.140625" style="53" customWidth="1"/>
    <col min="1288" max="1288" width="9.140625" style="53" customWidth="1"/>
    <col min="1289" max="1289" width="10.28515625" style="53" customWidth="1"/>
    <col min="1290" max="1290" width="41" style="53" customWidth="1"/>
    <col min="1291" max="1531" width="9.140625" style="53"/>
    <col min="1532" max="1537" width="9.140625" style="53" customWidth="1"/>
    <col min="1538" max="1538" width="8.42578125" style="53" customWidth="1"/>
    <col min="1539" max="1539" width="40.140625" style="53" customWidth="1"/>
    <col min="1540" max="1541" width="9.140625" style="53"/>
    <col min="1542" max="1542" width="9.42578125" style="53" customWidth="1"/>
    <col min="1543" max="1543" width="10.140625" style="53" customWidth="1"/>
    <col min="1544" max="1544" width="9.140625" style="53" customWidth="1"/>
    <col min="1545" max="1545" width="10.28515625" style="53" customWidth="1"/>
    <col min="1546" max="1546" width="41" style="53" customWidth="1"/>
    <col min="1547" max="1787" width="9.140625" style="53"/>
    <col min="1788" max="1793" width="9.140625" style="53" customWidth="1"/>
    <col min="1794" max="1794" width="8.42578125" style="53" customWidth="1"/>
    <col min="1795" max="1795" width="40.140625" style="53" customWidth="1"/>
    <col min="1796" max="1797" width="9.140625" style="53"/>
    <col min="1798" max="1798" width="9.42578125" style="53" customWidth="1"/>
    <col min="1799" max="1799" width="10.140625" style="53" customWidth="1"/>
    <col min="1800" max="1800" width="9.140625" style="53" customWidth="1"/>
    <col min="1801" max="1801" width="10.28515625" style="53" customWidth="1"/>
    <col min="1802" max="1802" width="41" style="53" customWidth="1"/>
    <col min="1803" max="2043" width="9.140625" style="53"/>
    <col min="2044" max="2049" width="9.140625" style="53" customWidth="1"/>
    <col min="2050" max="2050" width="8.42578125" style="53" customWidth="1"/>
    <col min="2051" max="2051" width="40.140625" style="53" customWidth="1"/>
    <col min="2052" max="2053" width="9.140625" style="53"/>
    <col min="2054" max="2054" width="9.42578125" style="53" customWidth="1"/>
    <col min="2055" max="2055" width="10.140625" style="53" customWidth="1"/>
    <col min="2056" max="2056" width="9.140625" style="53" customWidth="1"/>
    <col min="2057" max="2057" width="10.28515625" style="53" customWidth="1"/>
    <col min="2058" max="2058" width="41" style="53" customWidth="1"/>
    <col min="2059" max="2299" width="9.140625" style="53"/>
    <col min="2300" max="2305" width="9.140625" style="53" customWidth="1"/>
    <col min="2306" max="2306" width="8.42578125" style="53" customWidth="1"/>
    <col min="2307" max="2307" width="40.140625" style="53" customWidth="1"/>
    <col min="2308" max="2309" width="9.140625" style="53"/>
    <col min="2310" max="2310" width="9.42578125" style="53" customWidth="1"/>
    <col min="2311" max="2311" width="10.140625" style="53" customWidth="1"/>
    <col min="2312" max="2312" width="9.140625" style="53" customWidth="1"/>
    <col min="2313" max="2313" width="10.28515625" style="53" customWidth="1"/>
    <col min="2314" max="2314" width="41" style="53" customWidth="1"/>
    <col min="2315" max="2555" width="9.140625" style="53"/>
    <col min="2556" max="2561" width="9.140625" style="53" customWidth="1"/>
    <col min="2562" max="2562" width="8.42578125" style="53" customWidth="1"/>
    <col min="2563" max="2563" width="40.140625" style="53" customWidth="1"/>
    <col min="2564" max="2565" width="9.140625" style="53"/>
    <col min="2566" max="2566" width="9.42578125" style="53" customWidth="1"/>
    <col min="2567" max="2567" width="10.140625" style="53" customWidth="1"/>
    <col min="2568" max="2568" width="9.140625" style="53" customWidth="1"/>
    <col min="2569" max="2569" width="10.28515625" style="53" customWidth="1"/>
    <col min="2570" max="2570" width="41" style="53" customWidth="1"/>
    <col min="2571" max="2811" width="9.140625" style="53"/>
    <col min="2812" max="2817" width="9.140625" style="53" customWidth="1"/>
    <col min="2818" max="2818" width="8.42578125" style="53" customWidth="1"/>
    <col min="2819" max="2819" width="40.140625" style="53" customWidth="1"/>
    <col min="2820" max="2821" width="9.140625" style="53"/>
    <col min="2822" max="2822" width="9.42578125" style="53" customWidth="1"/>
    <col min="2823" max="2823" width="10.140625" style="53" customWidth="1"/>
    <col min="2824" max="2824" width="9.140625" style="53" customWidth="1"/>
    <col min="2825" max="2825" width="10.28515625" style="53" customWidth="1"/>
    <col min="2826" max="2826" width="41" style="53" customWidth="1"/>
    <col min="2827" max="3067" width="9.140625" style="53"/>
    <col min="3068" max="3073" width="9.140625" style="53" customWidth="1"/>
    <col min="3074" max="3074" width="8.42578125" style="53" customWidth="1"/>
    <col min="3075" max="3075" width="40.140625" style="53" customWidth="1"/>
    <col min="3076" max="3077" width="9.140625" style="53"/>
    <col min="3078" max="3078" width="9.42578125" style="53" customWidth="1"/>
    <col min="3079" max="3079" width="10.140625" style="53" customWidth="1"/>
    <col min="3080" max="3080" width="9.140625" style="53" customWidth="1"/>
    <col min="3081" max="3081" width="10.28515625" style="53" customWidth="1"/>
    <col min="3082" max="3082" width="41" style="53" customWidth="1"/>
    <col min="3083" max="3323" width="9.140625" style="53"/>
    <col min="3324" max="3329" width="9.140625" style="53" customWidth="1"/>
    <col min="3330" max="3330" width="8.42578125" style="53" customWidth="1"/>
    <col min="3331" max="3331" width="40.140625" style="53" customWidth="1"/>
    <col min="3332" max="3333" width="9.140625" style="53"/>
    <col min="3334" max="3334" width="9.42578125" style="53" customWidth="1"/>
    <col min="3335" max="3335" width="10.140625" style="53" customWidth="1"/>
    <col min="3336" max="3336" width="9.140625" style="53" customWidth="1"/>
    <col min="3337" max="3337" width="10.28515625" style="53" customWidth="1"/>
    <col min="3338" max="3338" width="41" style="53" customWidth="1"/>
    <col min="3339" max="3579" width="9.140625" style="53"/>
    <col min="3580" max="3585" width="9.140625" style="53" customWidth="1"/>
    <col min="3586" max="3586" width="8.42578125" style="53" customWidth="1"/>
    <col min="3587" max="3587" width="40.140625" style="53" customWidth="1"/>
    <col min="3588" max="3589" width="9.140625" style="53"/>
    <col min="3590" max="3590" width="9.42578125" style="53" customWidth="1"/>
    <col min="3591" max="3591" width="10.140625" style="53" customWidth="1"/>
    <col min="3592" max="3592" width="9.140625" style="53" customWidth="1"/>
    <col min="3593" max="3593" width="10.28515625" style="53" customWidth="1"/>
    <col min="3594" max="3594" width="41" style="53" customWidth="1"/>
    <col min="3595" max="3835" width="9.140625" style="53"/>
    <col min="3836" max="3841" width="9.140625" style="53" customWidth="1"/>
    <col min="3842" max="3842" width="8.42578125" style="53" customWidth="1"/>
    <col min="3843" max="3843" width="40.140625" style="53" customWidth="1"/>
    <col min="3844" max="3845" width="9.140625" style="53"/>
    <col min="3846" max="3846" width="9.42578125" style="53" customWidth="1"/>
    <col min="3847" max="3847" width="10.140625" style="53" customWidth="1"/>
    <col min="3848" max="3848" width="9.140625" style="53" customWidth="1"/>
    <col min="3849" max="3849" width="10.28515625" style="53" customWidth="1"/>
    <col min="3850" max="3850" width="41" style="53" customWidth="1"/>
    <col min="3851" max="4091" width="9.140625" style="53"/>
    <col min="4092" max="4097" width="9.140625" style="53" customWidth="1"/>
    <col min="4098" max="4098" width="8.42578125" style="53" customWidth="1"/>
    <col min="4099" max="4099" width="40.140625" style="53" customWidth="1"/>
    <col min="4100" max="4101" width="9.140625" style="53"/>
    <col min="4102" max="4102" width="9.42578125" style="53" customWidth="1"/>
    <col min="4103" max="4103" width="10.140625" style="53" customWidth="1"/>
    <col min="4104" max="4104" width="9.140625" style="53" customWidth="1"/>
    <col min="4105" max="4105" width="10.28515625" style="53" customWidth="1"/>
    <col min="4106" max="4106" width="41" style="53" customWidth="1"/>
    <col min="4107" max="4347" width="9.140625" style="53"/>
    <col min="4348" max="4353" width="9.140625" style="53" customWidth="1"/>
    <col min="4354" max="4354" width="8.42578125" style="53" customWidth="1"/>
    <col min="4355" max="4355" width="40.140625" style="53" customWidth="1"/>
    <col min="4356" max="4357" width="9.140625" style="53"/>
    <col min="4358" max="4358" width="9.42578125" style="53" customWidth="1"/>
    <col min="4359" max="4359" width="10.140625" style="53" customWidth="1"/>
    <col min="4360" max="4360" width="9.140625" style="53" customWidth="1"/>
    <col min="4361" max="4361" width="10.28515625" style="53" customWidth="1"/>
    <col min="4362" max="4362" width="41" style="53" customWidth="1"/>
    <col min="4363" max="4603" width="9.140625" style="53"/>
    <col min="4604" max="4609" width="9.140625" style="53" customWidth="1"/>
    <col min="4610" max="4610" width="8.42578125" style="53" customWidth="1"/>
    <col min="4611" max="4611" width="40.140625" style="53" customWidth="1"/>
    <col min="4612" max="4613" width="9.140625" style="53"/>
    <col min="4614" max="4614" width="9.42578125" style="53" customWidth="1"/>
    <col min="4615" max="4615" width="10.140625" style="53" customWidth="1"/>
    <col min="4616" max="4616" width="9.140625" style="53" customWidth="1"/>
    <col min="4617" max="4617" width="10.28515625" style="53" customWidth="1"/>
    <col min="4618" max="4618" width="41" style="53" customWidth="1"/>
    <col min="4619" max="4859" width="9.140625" style="53"/>
    <col min="4860" max="4865" width="9.140625" style="53" customWidth="1"/>
    <col min="4866" max="4866" width="8.42578125" style="53" customWidth="1"/>
    <col min="4867" max="4867" width="40.140625" style="53" customWidth="1"/>
    <col min="4868" max="4869" width="9.140625" style="53"/>
    <col min="4870" max="4870" width="9.42578125" style="53" customWidth="1"/>
    <col min="4871" max="4871" width="10.140625" style="53" customWidth="1"/>
    <col min="4872" max="4872" width="9.140625" style="53" customWidth="1"/>
    <col min="4873" max="4873" width="10.28515625" style="53" customWidth="1"/>
    <col min="4874" max="4874" width="41" style="53" customWidth="1"/>
    <col min="4875" max="5115" width="9.140625" style="53"/>
    <col min="5116" max="5121" width="9.140625" style="53" customWidth="1"/>
    <col min="5122" max="5122" width="8.42578125" style="53" customWidth="1"/>
    <col min="5123" max="5123" width="40.140625" style="53" customWidth="1"/>
    <col min="5124" max="5125" width="9.140625" style="53"/>
    <col min="5126" max="5126" width="9.42578125" style="53" customWidth="1"/>
    <col min="5127" max="5127" width="10.140625" style="53" customWidth="1"/>
    <col min="5128" max="5128" width="9.140625" style="53" customWidth="1"/>
    <col min="5129" max="5129" width="10.28515625" style="53" customWidth="1"/>
    <col min="5130" max="5130" width="41" style="53" customWidth="1"/>
    <col min="5131" max="5371" width="9.140625" style="53"/>
    <col min="5372" max="5377" width="9.140625" style="53" customWidth="1"/>
    <col min="5378" max="5378" width="8.42578125" style="53" customWidth="1"/>
    <col min="5379" max="5379" width="40.140625" style="53" customWidth="1"/>
    <col min="5380" max="5381" width="9.140625" style="53"/>
    <col min="5382" max="5382" width="9.42578125" style="53" customWidth="1"/>
    <col min="5383" max="5383" width="10.140625" style="53" customWidth="1"/>
    <col min="5384" max="5384" width="9.140625" style="53" customWidth="1"/>
    <col min="5385" max="5385" width="10.28515625" style="53" customWidth="1"/>
    <col min="5386" max="5386" width="41" style="53" customWidth="1"/>
    <col min="5387" max="5627" width="9.140625" style="53"/>
    <col min="5628" max="5633" width="9.140625" style="53" customWidth="1"/>
    <col min="5634" max="5634" width="8.42578125" style="53" customWidth="1"/>
    <col min="5635" max="5635" width="40.140625" style="53" customWidth="1"/>
    <col min="5636" max="5637" width="9.140625" style="53"/>
    <col min="5638" max="5638" width="9.42578125" style="53" customWidth="1"/>
    <col min="5639" max="5639" width="10.140625" style="53" customWidth="1"/>
    <col min="5640" max="5640" width="9.140625" style="53" customWidth="1"/>
    <col min="5641" max="5641" width="10.28515625" style="53" customWidth="1"/>
    <col min="5642" max="5642" width="41" style="53" customWidth="1"/>
    <col min="5643" max="5883" width="9.140625" style="53"/>
    <col min="5884" max="5889" width="9.140625" style="53" customWidth="1"/>
    <col min="5890" max="5890" width="8.42578125" style="53" customWidth="1"/>
    <col min="5891" max="5891" width="40.140625" style="53" customWidth="1"/>
    <col min="5892" max="5893" width="9.140625" style="53"/>
    <col min="5894" max="5894" width="9.42578125" style="53" customWidth="1"/>
    <col min="5895" max="5895" width="10.140625" style="53" customWidth="1"/>
    <col min="5896" max="5896" width="9.140625" style="53" customWidth="1"/>
    <col min="5897" max="5897" width="10.28515625" style="53" customWidth="1"/>
    <col min="5898" max="5898" width="41" style="53" customWidth="1"/>
    <col min="5899" max="6139" width="9.140625" style="53"/>
    <col min="6140" max="6145" width="9.140625" style="53" customWidth="1"/>
    <col min="6146" max="6146" width="8.42578125" style="53" customWidth="1"/>
    <col min="6147" max="6147" width="40.140625" style="53" customWidth="1"/>
    <col min="6148" max="6149" width="9.140625" style="53"/>
    <col min="6150" max="6150" width="9.42578125" style="53" customWidth="1"/>
    <col min="6151" max="6151" width="10.140625" style="53" customWidth="1"/>
    <col min="6152" max="6152" width="9.140625" style="53" customWidth="1"/>
    <col min="6153" max="6153" width="10.28515625" style="53" customWidth="1"/>
    <col min="6154" max="6154" width="41" style="53" customWidth="1"/>
    <col min="6155" max="6395" width="9.140625" style="53"/>
    <col min="6396" max="6401" width="9.140625" style="53" customWidth="1"/>
    <col min="6402" max="6402" width="8.42578125" style="53" customWidth="1"/>
    <col min="6403" max="6403" width="40.140625" style="53" customWidth="1"/>
    <col min="6404" max="6405" width="9.140625" style="53"/>
    <col min="6406" max="6406" width="9.42578125" style="53" customWidth="1"/>
    <col min="6407" max="6407" width="10.140625" style="53" customWidth="1"/>
    <col min="6408" max="6408" width="9.140625" style="53" customWidth="1"/>
    <col min="6409" max="6409" width="10.28515625" style="53" customWidth="1"/>
    <col min="6410" max="6410" width="41" style="53" customWidth="1"/>
    <col min="6411" max="6651" width="9.140625" style="53"/>
    <col min="6652" max="6657" width="9.140625" style="53" customWidth="1"/>
    <col min="6658" max="6658" width="8.42578125" style="53" customWidth="1"/>
    <col min="6659" max="6659" width="40.140625" style="53" customWidth="1"/>
    <col min="6660" max="6661" width="9.140625" style="53"/>
    <col min="6662" max="6662" width="9.42578125" style="53" customWidth="1"/>
    <col min="6663" max="6663" width="10.140625" style="53" customWidth="1"/>
    <col min="6664" max="6664" width="9.140625" style="53" customWidth="1"/>
    <col min="6665" max="6665" width="10.28515625" style="53" customWidth="1"/>
    <col min="6666" max="6666" width="41" style="53" customWidth="1"/>
    <col min="6667" max="6907" width="9.140625" style="53"/>
    <col min="6908" max="6913" width="9.140625" style="53" customWidth="1"/>
    <col min="6914" max="6914" width="8.42578125" style="53" customWidth="1"/>
    <col min="6915" max="6915" width="40.140625" style="53" customWidth="1"/>
    <col min="6916" max="6917" width="9.140625" style="53"/>
    <col min="6918" max="6918" width="9.42578125" style="53" customWidth="1"/>
    <col min="6919" max="6919" width="10.140625" style="53" customWidth="1"/>
    <col min="6920" max="6920" width="9.140625" style="53" customWidth="1"/>
    <col min="6921" max="6921" width="10.28515625" style="53" customWidth="1"/>
    <col min="6922" max="6922" width="41" style="53" customWidth="1"/>
    <col min="6923" max="7163" width="9.140625" style="53"/>
    <col min="7164" max="7169" width="9.140625" style="53" customWidth="1"/>
    <col min="7170" max="7170" width="8.42578125" style="53" customWidth="1"/>
    <col min="7171" max="7171" width="40.140625" style="53" customWidth="1"/>
    <col min="7172" max="7173" width="9.140625" style="53"/>
    <col min="7174" max="7174" width="9.42578125" style="53" customWidth="1"/>
    <col min="7175" max="7175" width="10.140625" style="53" customWidth="1"/>
    <col min="7176" max="7176" width="9.140625" style="53" customWidth="1"/>
    <col min="7177" max="7177" width="10.28515625" style="53" customWidth="1"/>
    <col min="7178" max="7178" width="41" style="53" customWidth="1"/>
    <col min="7179" max="7419" width="9.140625" style="53"/>
    <col min="7420" max="7425" width="9.140625" style="53" customWidth="1"/>
    <col min="7426" max="7426" width="8.42578125" style="53" customWidth="1"/>
    <col min="7427" max="7427" width="40.140625" style="53" customWidth="1"/>
    <col min="7428" max="7429" width="9.140625" style="53"/>
    <col min="7430" max="7430" width="9.42578125" style="53" customWidth="1"/>
    <col min="7431" max="7431" width="10.140625" style="53" customWidth="1"/>
    <col min="7432" max="7432" width="9.140625" style="53" customWidth="1"/>
    <col min="7433" max="7433" width="10.28515625" style="53" customWidth="1"/>
    <col min="7434" max="7434" width="41" style="53" customWidth="1"/>
    <col min="7435" max="7675" width="9.140625" style="53"/>
    <col min="7676" max="7681" width="9.140625" style="53" customWidth="1"/>
    <col min="7682" max="7682" width="8.42578125" style="53" customWidth="1"/>
    <col min="7683" max="7683" width="40.140625" style="53" customWidth="1"/>
    <col min="7684" max="7685" width="9.140625" style="53"/>
    <col min="7686" max="7686" width="9.42578125" style="53" customWidth="1"/>
    <col min="7687" max="7687" width="10.140625" style="53" customWidth="1"/>
    <col min="7688" max="7688" width="9.140625" style="53" customWidth="1"/>
    <col min="7689" max="7689" width="10.28515625" style="53" customWidth="1"/>
    <col min="7690" max="7690" width="41" style="53" customWidth="1"/>
    <col min="7691" max="7931" width="9.140625" style="53"/>
    <col min="7932" max="7937" width="9.140625" style="53" customWidth="1"/>
    <col min="7938" max="7938" width="8.42578125" style="53" customWidth="1"/>
    <col min="7939" max="7939" width="40.140625" style="53" customWidth="1"/>
    <col min="7940" max="7941" width="9.140625" style="53"/>
    <col min="7942" max="7942" width="9.42578125" style="53" customWidth="1"/>
    <col min="7943" max="7943" width="10.140625" style="53" customWidth="1"/>
    <col min="7944" max="7944" width="9.140625" style="53" customWidth="1"/>
    <col min="7945" max="7945" width="10.28515625" style="53" customWidth="1"/>
    <col min="7946" max="7946" width="41" style="53" customWidth="1"/>
    <col min="7947" max="8187" width="9.140625" style="53"/>
    <col min="8188" max="8193" width="9.140625" style="53" customWidth="1"/>
    <col min="8194" max="8194" width="8.42578125" style="53" customWidth="1"/>
    <col min="8195" max="8195" width="40.140625" style="53" customWidth="1"/>
    <col min="8196" max="8197" width="9.140625" style="53"/>
    <col min="8198" max="8198" width="9.42578125" style="53" customWidth="1"/>
    <col min="8199" max="8199" width="10.140625" style="53" customWidth="1"/>
    <col min="8200" max="8200" width="9.140625" style="53" customWidth="1"/>
    <col min="8201" max="8201" width="10.28515625" style="53" customWidth="1"/>
    <col min="8202" max="8202" width="41" style="53" customWidth="1"/>
    <col min="8203" max="8443" width="9.140625" style="53"/>
    <col min="8444" max="8449" width="9.140625" style="53" customWidth="1"/>
    <col min="8450" max="8450" width="8.42578125" style="53" customWidth="1"/>
    <col min="8451" max="8451" width="40.140625" style="53" customWidth="1"/>
    <col min="8452" max="8453" width="9.140625" style="53"/>
    <col min="8454" max="8454" width="9.42578125" style="53" customWidth="1"/>
    <col min="8455" max="8455" width="10.140625" style="53" customWidth="1"/>
    <col min="8456" max="8456" width="9.140625" style="53" customWidth="1"/>
    <col min="8457" max="8457" width="10.28515625" style="53" customWidth="1"/>
    <col min="8458" max="8458" width="41" style="53" customWidth="1"/>
    <col min="8459" max="8699" width="9.140625" style="53"/>
    <col min="8700" max="8705" width="9.140625" style="53" customWidth="1"/>
    <col min="8706" max="8706" width="8.42578125" style="53" customWidth="1"/>
    <col min="8707" max="8707" width="40.140625" style="53" customWidth="1"/>
    <col min="8708" max="8709" width="9.140625" style="53"/>
    <col min="8710" max="8710" width="9.42578125" style="53" customWidth="1"/>
    <col min="8711" max="8711" width="10.140625" style="53" customWidth="1"/>
    <col min="8712" max="8712" width="9.140625" style="53" customWidth="1"/>
    <col min="8713" max="8713" width="10.28515625" style="53" customWidth="1"/>
    <col min="8714" max="8714" width="41" style="53" customWidth="1"/>
    <col min="8715" max="8955" width="9.140625" style="53"/>
    <col min="8956" max="8961" width="9.140625" style="53" customWidth="1"/>
    <col min="8962" max="8962" width="8.42578125" style="53" customWidth="1"/>
    <col min="8963" max="8963" width="40.140625" style="53" customWidth="1"/>
    <col min="8964" max="8965" width="9.140625" style="53"/>
    <col min="8966" max="8966" width="9.42578125" style="53" customWidth="1"/>
    <col min="8967" max="8967" width="10.140625" style="53" customWidth="1"/>
    <col min="8968" max="8968" width="9.140625" style="53" customWidth="1"/>
    <col min="8969" max="8969" width="10.28515625" style="53" customWidth="1"/>
    <col min="8970" max="8970" width="41" style="53" customWidth="1"/>
    <col min="8971" max="9211" width="9.140625" style="53"/>
    <col min="9212" max="9217" width="9.140625" style="53" customWidth="1"/>
    <col min="9218" max="9218" width="8.42578125" style="53" customWidth="1"/>
    <col min="9219" max="9219" width="40.140625" style="53" customWidth="1"/>
    <col min="9220" max="9221" width="9.140625" style="53"/>
    <col min="9222" max="9222" width="9.42578125" style="53" customWidth="1"/>
    <col min="9223" max="9223" width="10.140625" style="53" customWidth="1"/>
    <col min="9224" max="9224" width="9.140625" style="53" customWidth="1"/>
    <col min="9225" max="9225" width="10.28515625" style="53" customWidth="1"/>
    <col min="9226" max="9226" width="41" style="53" customWidth="1"/>
    <col min="9227" max="9467" width="9.140625" style="53"/>
    <col min="9468" max="9473" width="9.140625" style="53" customWidth="1"/>
    <col min="9474" max="9474" width="8.42578125" style="53" customWidth="1"/>
    <col min="9475" max="9475" width="40.140625" style="53" customWidth="1"/>
    <col min="9476" max="9477" width="9.140625" style="53"/>
    <col min="9478" max="9478" width="9.42578125" style="53" customWidth="1"/>
    <col min="9479" max="9479" width="10.140625" style="53" customWidth="1"/>
    <col min="9480" max="9480" width="9.140625" style="53" customWidth="1"/>
    <col min="9481" max="9481" width="10.28515625" style="53" customWidth="1"/>
    <col min="9482" max="9482" width="41" style="53" customWidth="1"/>
    <col min="9483" max="9723" width="9.140625" style="53"/>
    <col min="9724" max="9729" width="9.140625" style="53" customWidth="1"/>
    <col min="9730" max="9730" width="8.42578125" style="53" customWidth="1"/>
    <col min="9731" max="9731" width="40.140625" style="53" customWidth="1"/>
    <col min="9732" max="9733" width="9.140625" style="53"/>
    <col min="9734" max="9734" width="9.42578125" style="53" customWidth="1"/>
    <col min="9735" max="9735" width="10.140625" style="53" customWidth="1"/>
    <col min="9736" max="9736" width="9.140625" style="53" customWidth="1"/>
    <col min="9737" max="9737" width="10.28515625" style="53" customWidth="1"/>
    <col min="9738" max="9738" width="41" style="53" customWidth="1"/>
    <col min="9739" max="9979" width="9.140625" style="53"/>
    <col min="9980" max="9985" width="9.140625" style="53" customWidth="1"/>
    <col min="9986" max="9986" width="8.42578125" style="53" customWidth="1"/>
    <col min="9987" max="9987" width="40.140625" style="53" customWidth="1"/>
    <col min="9988" max="9989" width="9.140625" style="53"/>
    <col min="9990" max="9990" width="9.42578125" style="53" customWidth="1"/>
    <col min="9991" max="9991" width="10.140625" style="53" customWidth="1"/>
    <col min="9992" max="9992" width="9.140625" style="53" customWidth="1"/>
    <col min="9993" max="9993" width="10.28515625" style="53" customWidth="1"/>
    <col min="9994" max="9994" width="41" style="53" customWidth="1"/>
    <col min="9995" max="10235" width="9.140625" style="53"/>
    <col min="10236" max="10241" width="9.140625" style="53" customWidth="1"/>
    <col min="10242" max="10242" width="8.42578125" style="53" customWidth="1"/>
    <col min="10243" max="10243" width="40.140625" style="53" customWidth="1"/>
    <col min="10244" max="10245" width="9.140625" style="53"/>
    <col min="10246" max="10246" width="9.42578125" style="53" customWidth="1"/>
    <col min="10247" max="10247" width="10.140625" style="53" customWidth="1"/>
    <col min="10248" max="10248" width="9.140625" style="53" customWidth="1"/>
    <col min="10249" max="10249" width="10.28515625" style="53" customWidth="1"/>
    <col min="10250" max="10250" width="41" style="53" customWidth="1"/>
    <col min="10251" max="10491" width="9.140625" style="53"/>
    <col min="10492" max="10497" width="9.140625" style="53" customWidth="1"/>
    <col min="10498" max="10498" width="8.42578125" style="53" customWidth="1"/>
    <col min="10499" max="10499" width="40.140625" style="53" customWidth="1"/>
    <col min="10500" max="10501" width="9.140625" style="53"/>
    <col min="10502" max="10502" width="9.42578125" style="53" customWidth="1"/>
    <col min="10503" max="10503" width="10.140625" style="53" customWidth="1"/>
    <col min="10504" max="10504" width="9.140625" style="53" customWidth="1"/>
    <col min="10505" max="10505" width="10.28515625" style="53" customWidth="1"/>
    <col min="10506" max="10506" width="41" style="53" customWidth="1"/>
    <col min="10507" max="10747" width="9.140625" style="53"/>
    <col min="10748" max="10753" width="9.140625" style="53" customWidth="1"/>
    <col min="10754" max="10754" width="8.42578125" style="53" customWidth="1"/>
    <col min="10755" max="10755" width="40.140625" style="53" customWidth="1"/>
    <col min="10756" max="10757" width="9.140625" style="53"/>
    <col min="10758" max="10758" width="9.42578125" style="53" customWidth="1"/>
    <col min="10759" max="10759" width="10.140625" style="53" customWidth="1"/>
    <col min="10760" max="10760" width="9.140625" style="53" customWidth="1"/>
    <col min="10761" max="10761" width="10.28515625" style="53" customWidth="1"/>
    <col min="10762" max="10762" width="41" style="53" customWidth="1"/>
    <col min="10763" max="11003" width="9.140625" style="53"/>
    <col min="11004" max="11009" width="9.140625" style="53" customWidth="1"/>
    <col min="11010" max="11010" width="8.42578125" style="53" customWidth="1"/>
    <col min="11011" max="11011" width="40.140625" style="53" customWidth="1"/>
    <col min="11012" max="11013" width="9.140625" style="53"/>
    <col min="11014" max="11014" width="9.42578125" style="53" customWidth="1"/>
    <col min="11015" max="11015" width="10.140625" style="53" customWidth="1"/>
    <col min="11016" max="11016" width="9.140625" style="53" customWidth="1"/>
    <col min="11017" max="11017" width="10.28515625" style="53" customWidth="1"/>
    <col min="11018" max="11018" width="41" style="53" customWidth="1"/>
    <col min="11019" max="11259" width="9.140625" style="53"/>
    <col min="11260" max="11265" width="9.140625" style="53" customWidth="1"/>
    <col min="11266" max="11266" width="8.42578125" style="53" customWidth="1"/>
    <col min="11267" max="11267" width="40.140625" style="53" customWidth="1"/>
    <col min="11268" max="11269" width="9.140625" style="53"/>
    <col min="11270" max="11270" width="9.42578125" style="53" customWidth="1"/>
    <col min="11271" max="11271" width="10.140625" style="53" customWidth="1"/>
    <col min="11272" max="11272" width="9.140625" style="53" customWidth="1"/>
    <col min="11273" max="11273" width="10.28515625" style="53" customWidth="1"/>
    <col min="11274" max="11274" width="41" style="53" customWidth="1"/>
    <col min="11275" max="11515" width="9.140625" style="53"/>
    <col min="11516" max="11521" width="9.140625" style="53" customWidth="1"/>
    <col min="11522" max="11522" width="8.42578125" style="53" customWidth="1"/>
    <col min="11523" max="11523" width="40.140625" style="53" customWidth="1"/>
    <col min="11524" max="11525" width="9.140625" style="53"/>
    <col min="11526" max="11526" width="9.42578125" style="53" customWidth="1"/>
    <col min="11527" max="11527" width="10.140625" style="53" customWidth="1"/>
    <col min="11528" max="11528" width="9.140625" style="53" customWidth="1"/>
    <col min="11529" max="11529" width="10.28515625" style="53" customWidth="1"/>
    <col min="11530" max="11530" width="41" style="53" customWidth="1"/>
    <col min="11531" max="11771" width="9.140625" style="53"/>
    <col min="11772" max="11777" width="9.140625" style="53" customWidth="1"/>
    <col min="11778" max="11778" width="8.42578125" style="53" customWidth="1"/>
    <col min="11779" max="11779" width="40.140625" style="53" customWidth="1"/>
    <col min="11780" max="11781" width="9.140625" style="53"/>
    <col min="11782" max="11782" width="9.42578125" style="53" customWidth="1"/>
    <col min="11783" max="11783" width="10.140625" style="53" customWidth="1"/>
    <col min="11784" max="11784" width="9.140625" style="53" customWidth="1"/>
    <col min="11785" max="11785" width="10.28515625" style="53" customWidth="1"/>
    <col min="11786" max="11786" width="41" style="53" customWidth="1"/>
    <col min="11787" max="12027" width="9.140625" style="53"/>
    <col min="12028" max="12033" width="9.140625" style="53" customWidth="1"/>
    <col min="12034" max="12034" width="8.42578125" style="53" customWidth="1"/>
    <col min="12035" max="12035" width="40.140625" style="53" customWidth="1"/>
    <col min="12036" max="12037" width="9.140625" style="53"/>
    <col min="12038" max="12038" width="9.42578125" style="53" customWidth="1"/>
    <col min="12039" max="12039" width="10.140625" style="53" customWidth="1"/>
    <col min="12040" max="12040" width="9.140625" style="53" customWidth="1"/>
    <col min="12041" max="12041" width="10.28515625" style="53" customWidth="1"/>
    <col min="12042" max="12042" width="41" style="53" customWidth="1"/>
    <col min="12043" max="12283" width="9.140625" style="53"/>
    <col min="12284" max="12289" width="9.140625" style="53" customWidth="1"/>
    <col min="12290" max="12290" width="8.42578125" style="53" customWidth="1"/>
    <col min="12291" max="12291" width="40.140625" style="53" customWidth="1"/>
    <col min="12292" max="12293" width="9.140625" style="53"/>
    <col min="12294" max="12294" width="9.42578125" style="53" customWidth="1"/>
    <col min="12295" max="12295" width="10.140625" style="53" customWidth="1"/>
    <col min="12296" max="12296" width="9.140625" style="53" customWidth="1"/>
    <col min="12297" max="12297" width="10.28515625" style="53" customWidth="1"/>
    <col min="12298" max="12298" width="41" style="53" customWidth="1"/>
    <col min="12299" max="12539" width="9.140625" style="53"/>
    <col min="12540" max="12545" width="9.140625" style="53" customWidth="1"/>
    <col min="12546" max="12546" width="8.42578125" style="53" customWidth="1"/>
    <col min="12547" max="12547" width="40.140625" style="53" customWidth="1"/>
    <col min="12548" max="12549" width="9.140625" style="53"/>
    <col min="12550" max="12550" width="9.42578125" style="53" customWidth="1"/>
    <col min="12551" max="12551" width="10.140625" style="53" customWidth="1"/>
    <col min="12552" max="12552" width="9.140625" style="53" customWidth="1"/>
    <col min="12553" max="12553" width="10.28515625" style="53" customWidth="1"/>
    <col min="12554" max="12554" width="41" style="53" customWidth="1"/>
    <col min="12555" max="12795" width="9.140625" style="53"/>
    <col min="12796" max="12801" width="9.140625" style="53" customWidth="1"/>
    <col min="12802" max="12802" width="8.42578125" style="53" customWidth="1"/>
    <col min="12803" max="12803" width="40.140625" style="53" customWidth="1"/>
    <col min="12804" max="12805" width="9.140625" style="53"/>
    <col min="12806" max="12806" width="9.42578125" style="53" customWidth="1"/>
    <col min="12807" max="12807" width="10.140625" style="53" customWidth="1"/>
    <col min="12808" max="12808" width="9.140625" style="53" customWidth="1"/>
    <col min="12809" max="12809" width="10.28515625" style="53" customWidth="1"/>
    <col min="12810" max="12810" width="41" style="53" customWidth="1"/>
    <col min="12811" max="13051" width="9.140625" style="53"/>
    <col min="13052" max="13057" width="9.140625" style="53" customWidth="1"/>
    <col min="13058" max="13058" width="8.42578125" style="53" customWidth="1"/>
    <col min="13059" max="13059" width="40.140625" style="53" customWidth="1"/>
    <col min="13060" max="13061" width="9.140625" style="53"/>
    <col min="13062" max="13062" width="9.42578125" style="53" customWidth="1"/>
    <col min="13063" max="13063" width="10.140625" style="53" customWidth="1"/>
    <col min="13064" max="13064" width="9.140625" style="53" customWidth="1"/>
    <col min="13065" max="13065" width="10.28515625" style="53" customWidth="1"/>
    <col min="13066" max="13066" width="41" style="53" customWidth="1"/>
    <col min="13067" max="13307" width="9.140625" style="53"/>
    <col min="13308" max="13313" width="9.140625" style="53" customWidth="1"/>
    <col min="13314" max="13314" width="8.42578125" style="53" customWidth="1"/>
    <col min="13315" max="13315" width="40.140625" style="53" customWidth="1"/>
    <col min="13316" max="13317" width="9.140625" style="53"/>
    <col min="13318" max="13318" width="9.42578125" style="53" customWidth="1"/>
    <col min="13319" max="13319" width="10.140625" style="53" customWidth="1"/>
    <col min="13320" max="13320" width="9.140625" style="53" customWidth="1"/>
    <col min="13321" max="13321" width="10.28515625" style="53" customWidth="1"/>
    <col min="13322" max="13322" width="41" style="53" customWidth="1"/>
    <col min="13323" max="13563" width="9.140625" style="53"/>
    <col min="13564" max="13569" width="9.140625" style="53" customWidth="1"/>
    <col min="13570" max="13570" width="8.42578125" style="53" customWidth="1"/>
    <col min="13571" max="13571" width="40.140625" style="53" customWidth="1"/>
    <col min="13572" max="13573" width="9.140625" style="53"/>
    <col min="13574" max="13574" width="9.42578125" style="53" customWidth="1"/>
    <col min="13575" max="13575" width="10.140625" style="53" customWidth="1"/>
    <col min="13576" max="13576" width="9.140625" style="53" customWidth="1"/>
    <col min="13577" max="13577" width="10.28515625" style="53" customWidth="1"/>
    <col min="13578" max="13578" width="41" style="53" customWidth="1"/>
    <col min="13579" max="13819" width="9.140625" style="53"/>
    <col min="13820" max="13825" width="9.140625" style="53" customWidth="1"/>
    <col min="13826" max="13826" width="8.42578125" style="53" customWidth="1"/>
    <col min="13827" max="13827" width="40.140625" style="53" customWidth="1"/>
    <col min="13828" max="13829" width="9.140625" style="53"/>
    <col min="13830" max="13830" width="9.42578125" style="53" customWidth="1"/>
    <col min="13831" max="13831" width="10.140625" style="53" customWidth="1"/>
    <col min="13832" max="13832" width="9.140625" style="53" customWidth="1"/>
    <col min="13833" max="13833" width="10.28515625" style="53" customWidth="1"/>
    <col min="13834" max="13834" width="41" style="53" customWidth="1"/>
    <col min="13835" max="14075" width="9.140625" style="53"/>
    <col min="14076" max="14081" width="9.140625" style="53" customWidth="1"/>
    <col min="14082" max="14082" width="8.42578125" style="53" customWidth="1"/>
    <col min="14083" max="14083" width="40.140625" style="53" customWidth="1"/>
    <col min="14084" max="14085" width="9.140625" style="53"/>
    <col min="14086" max="14086" width="9.42578125" style="53" customWidth="1"/>
    <col min="14087" max="14087" width="10.140625" style="53" customWidth="1"/>
    <col min="14088" max="14088" width="9.140625" style="53" customWidth="1"/>
    <col min="14089" max="14089" width="10.28515625" style="53" customWidth="1"/>
    <col min="14090" max="14090" width="41" style="53" customWidth="1"/>
    <col min="14091" max="14331" width="9.140625" style="53"/>
    <col min="14332" max="14337" width="9.140625" style="53" customWidth="1"/>
    <col min="14338" max="14338" width="8.42578125" style="53" customWidth="1"/>
    <col min="14339" max="14339" width="40.140625" style="53" customWidth="1"/>
    <col min="14340" max="14341" width="9.140625" style="53"/>
    <col min="14342" max="14342" width="9.42578125" style="53" customWidth="1"/>
    <col min="14343" max="14343" width="10.140625" style="53" customWidth="1"/>
    <col min="14344" max="14344" width="9.140625" style="53" customWidth="1"/>
    <col min="14345" max="14345" width="10.28515625" style="53" customWidth="1"/>
    <col min="14346" max="14346" width="41" style="53" customWidth="1"/>
    <col min="14347" max="14587" width="9.140625" style="53"/>
    <col min="14588" max="14593" width="9.140625" style="53" customWidth="1"/>
    <col min="14594" max="14594" width="8.42578125" style="53" customWidth="1"/>
    <col min="14595" max="14595" width="40.140625" style="53" customWidth="1"/>
    <col min="14596" max="14597" width="9.140625" style="53"/>
    <col min="14598" max="14598" width="9.42578125" style="53" customWidth="1"/>
    <col min="14599" max="14599" width="10.140625" style="53" customWidth="1"/>
    <col min="14600" max="14600" width="9.140625" style="53" customWidth="1"/>
    <col min="14601" max="14601" width="10.28515625" style="53" customWidth="1"/>
    <col min="14602" max="14602" width="41" style="53" customWidth="1"/>
    <col min="14603" max="14843" width="9.140625" style="53"/>
    <col min="14844" max="14849" width="9.140625" style="53" customWidth="1"/>
    <col min="14850" max="14850" width="8.42578125" style="53" customWidth="1"/>
    <col min="14851" max="14851" width="40.140625" style="53" customWidth="1"/>
    <col min="14852" max="14853" width="9.140625" style="53"/>
    <col min="14854" max="14854" width="9.42578125" style="53" customWidth="1"/>
    <col min="14855" max="14855" width="10.140625" style="53" customWidth="1"/>
    <col min="14856" max="14856" width="9.140625" style="53" customWidth="1"/>
    <col min="14857" max="14857" width="10.28515625" style="53" customWidth="1"/>
    <col min="14858" max="14858" width="41" style="53" customWidth="1"/>
    <col min="14859" max="15099" width="9.140625" style="53"/>
    <col min="15100" max="15105" width="9.140625" style="53" customWidth="1"/>
    <col min="15106" max="15106" width="8.42578125" style="53" customWidth="1"/>
    <col min="15107" max="15107" width="40.140625" style="53" customWidth="1"/>
    <col min="15108" max="15109" width="9.140625" style="53"/>
    <col min="15110" max="15110" width="9.42578125" style="53" customWidth="1"/>
    <col min="15111" max="15111" width="10.140625" style="53" customWidth="1"/>
    <col min="15112" max="15112" width="9.140625" style="53" customWidth="1"/>
    <col min="15113" max="15113" width="10.28515625" style="53" customWidth="1"/>
    <col min="15114" max="15114" width="41" style="53" customWidth="1"/>
    <col min="15115" max="15355" width="9.140625" style="53"/>
    <col min="15356" max="15361" width="9.140625" style="53" customWidth="1"/>
    <col min="15362" max="15362" width="8.42578125" style="53" customWidth="1"/>
    <col min="15363" max="15363" width="40.140625" style="53" customWidth="1"/>
    <col min="15364" max="15365" width="9.140625" style="53"/>
    <col min="15366" max="15366" width="9.42578125" style="53" customWidth="1"/>
    <col min="15367" max="15367" width="10.140625" style="53" customWidth="1"/>
    <col min="15368" max="15368" width="9.140625" style="53" customWidth="1"/>
    <col min="15369" max="15369" width="10.28515625" style="53" customWidth="1"/>
    <col min="15370" max="15370" width="41" style="53" customWidth="1"/>
    <col min="15371" max="15611" width="9.140625" style="53"/>
    <col min="15612" max="15617" width="9.140625" style="53" customWidth="1"/>
    <col min="15618" max="15618" width="8.42578125" style="53" customWidth="1"/>
    <col min="15619" max="15619" width="40.140625" style="53" customWidth="1"/>
    <col min="15620" max="15621" width="9.140625" style="53"/>
    <col min="15622" max="15622" width="9.42578125" style="53" customWidth="1"/>
    <col min="15623" max="15623" width="10.140625" style="53" customWidth="1"/>
    <col min="15624" max="15624" width="9.140625" style="53" customWidth="1"/>
    <col min="15625" max="15625" width="10.28515625" style="53" customWidth="1"/>
    <col min="15626" max="15626" width="41" style="53" customWidth="1"/>
    <col min="15627" max="15867" width="9.140625" style="53"/>
    <col min="15868" max="15873" width="9.140625" style="53" customWidth="1"/>
    <col min="15874" max="15874" width="8.42578125" style="53" customWidth="1"/>
    <col min="15875" max="15875" width="40.140625" style="53" customWidth="1"/>
    <col min="15876" max="15877" width="9.140625" style="53"/>
    <col min="15878" max="15878" width="9.42578125" style="53" customWidth="1"/>
    <col min="15879" max="15879" width="10.140625" style="53" customWidth="1"/>
    <col min="15880" max="15880" width="9.140625" style="53" customWidth="1"/>
    <col min="15881" max="15881" width="10.28515625" style="53" customWidth="1"/>
    <col min="15882" max="15882" width="41" style="53" customWidth="1"/>
    <col min="15883" max="16123" width="9.140625" style="53"/>
    <col min="16124" max="16129" width="9.140625" style="53" customWidth="1"/>
    <col min="16130" max="16130" width="8.42578125" style="53" customWidth="1"/>
    <col min="16131" max="16131" width="40.140625" style="53" customWidth="1"/>
    <col min="16132" max="16133" width="9.140625" style="53"/>
    <col min="16134" max="16134" width="9.42578125" style="53" customWidth="1"/>
    <col min="16135" max="16135" width="10.140625" style="53" customWidth="1"/>
    <col min="16136" max="16136" width="9.140625" style="53" customWidth="1"/>
    <col min="16137" max="16137" width="10.28515625" style="53" customWidth="1"/>
    <col min="16138" max="16138" width="41" style="53" customWidth="1"/>
    <col min="16139" max="16384" width="9.140625" style="53"/>
  </cols>
  <sheetData>
    <row r="1" spans="1:18" ht="26.25" customHeight="1" x14ac:dyDescent="0.25">
      <c r="A1" s="200" t="s">
        <v>789</v>
      </c>
      <c r="B1" s="200"/>
      <c r="C1" s="200"/>
      <c r="D1" s="200"/>
      <c r="E1" s="200"/>
      <c r="F1" s="200"/>
      <c r="G1" s="200"/>
      <c r="H1" s="200"/>
      <c r="I1" s="200"/>
      <c r="J1" s="200"/>
      <c r="K1" s="200"/>
      <c r="L1" s="200"/>
      <c r="M1" s="200"/>
      <c r="N1" s="245" t="s">
        <v>1145</v>
      </c>
      <c r="O1" s="245"/>
      <c r="P1" s="245"/>
      <c r="Q1" s="245"/>
      <c r="R1" s="245"/>
    </row>
    <row r="2" spans="1:18" ht="26.25" customHeight="1" x14ac:dyDescent="0.3">
      <c r="A2" s="201"/>
      <c r="B2" s="201"/>
      <c r="C2" s="275"/>
      <c r="D2" s="275"/>
      <c r="E2" s="275"/>
      <c r="F2" s="275"/>
      <c r="G2" s="145"/>
      <c r="H2" s="145"/>
      <c r="I2" s="145"/>
      <c r="J2" s="275"/>
      <c r="K2" s="275"/>
      <c r="L2" s="275"/>
      <c r="M2" s="275"/>
      <c r="N2" s="203"/>
      <c r="O2" s="277" t="s">
        <v>763</v>
      </c>
      <c r="P2" s="277"/>
      <c r="Q2" s="277"/>
      <c r="R2" s="277"/>
    </row>
    <row r="3" spans="1:18" ht="16.5" x14ac:dyDescent="0.25">
      <c r="A3" s="201"/>
      <c r="B3" s="201"/>
      <c r="C3" s="202"/>
      <c r="D3" s="202"/>
      <c r="E3" s="202"/>
      <c r="F3" s="202"/>
      <c r="G3" s="145"/>
      <c r="H3" s="145"/>
      <c r="I3" s="145"/>
      <c r="J3" s="202"/>
      <c r="K3" s="202"/>
      <c r="L3" s="202"/>
      <c r="M3" s="202"/>
      <c r="N3" s="233" t="s">
        <v>0</v>
      </c>
      <c r="O3" s="233" t="s">
        <v>1</v>
      </c>
      <c r="P3" s="276" t="s">
        <v>942</v>
      </c>
      <c r="Q3" s="276"/>
      <c r="R3" s="276"/>
    </row>
    <row r="4" spans="1:18" ht="49.5" x14ac:dyDescent="0.25">
      <c r="A4" s="205"/>
      <c r="B4" s="205"/>
      <c r="C4" s="147" t="s">
        <v>4</v>
      </c>
      <c r="D4" s="147" t="s">
        <v>3</v>
      </c>
      <c r="E4" s="147" t="s">
        <v>5</v>
      </c>
      <c r="F4" s="147" t="s">
        <v>764</v>
      </c>
      <c r="G4" s="206"/>
      <c r="H4" s="60"/>
      <c r="I4" s="60" t="s">
        <v>4</v>
      </c>
      <c r="J4" s="60" t="s">
        <v>3</v>
      </c>
      <c r="K4" s="60" t="s">
        <v>5</v>
      </c>
      <c r="L4" s="60" t="s">
        <v>6</v>
      </c>
      <c r="M4" s="154"/>
      <c r="N4" s="234"/>
      <c r="O4" s="234"/>
      <c r="P4" s="60" t="s">
        <v>4</v>
      </c>
      <c r="Q4" s="60" t="s">
        <v>3</v>
      </c>
      <c r="R4" s="60" t="s">
        <v>5</v>
      </c>
    </row>
    <row r="5" spans="1:18" ht="23.25" customHeight="1" x14ac:dyDescent="0.25">
      <c r="A5" s="147" t="s">
        <v>7</v>
      </c>
      <c r="B5" s="151" t="s">
        <v>765</v>
      </c>
      <c r="C5" s="207"/>
      <c r="D5" s="208"/>
      <c r="E5" s="208"/>
      <c r="F5" s="208"/>
      <c r="G5" s="61" t="s">
        <v>7</v>
      </c>
      <c r="H5" s="209" t="str">
        <f>B5</f>
        <v>Trục đường Tỉnh lộ 142.</v>
      </c>
      <c r="I5" s="61"/>
      <c r="J5" s="61"/>
      <c r="K5" s="61"/>
      <c r="L5" s="61"/>
      <c r="M5" s="65"/>
      <c r="N5" s="61" t="str">
        <f>G5</f>
        <v>I</v>
      </c>
      <c r="O5" s="76" t="str">
        <f>H5</f>
        <v>Trục đường Tỉnh lộ 142.</v>
      </c>
      <c r="P5" s="61"/>
      <c r="Q5" s="61"/>
      <c r="R5" s="61"/>
    </row>
    <row r="6" spans="1:18" ht="86.25" customHeight="1" x14ac:dyDescent="0.25">
      <c r="A6" s="72">
        <v>1</v>
      </c>
      <c r="B6" s="148" t="s">
        <v>766</v>
      </c>
      <c r="C6" s="210">
        <v>660</v>
      </c>
      <c r="D6" s="210">
        <v>560</v>
      </c>
      <c r="E6" s="210">
        <v>395</v>
      </c>
      <c r="F6" s="210"/>
      <c r="G6" s="65">
        <v>1</v>
      </c>
      <c r="H6" s="86" t="str">
        <f>B6</f>
        <v>Đoạn từ giáp thửa số 56 tờ bản đồ số 7 (Từ nút giao với đường NC12) đến đầu cầu Tạo Sen.</v>
      </c>
      <c r="I6" s="211">
        <f t="shared" ref="I6:K7" si="0">C6*1.1</f>
        <v>726.00000000000011</v>
      </c>
      <c r="J6" s="211">
        <f t="shared" si="0"/>
        <v>616</v>
      </c>
      <c r="K6" s="211">
        <f t="shared" si="0"/>
        <v>434.50000000000006</v>
      </c>
      <c r="L6" s="211"/>
      <c r="M6" s="65"/>
      <c r="N6" s="65">
        <f t="shared" ref="N6:O23" si="1">G6</f>
        <v>1</v>
      </c>
      <c r="O6" s="86" t="s">
        <v>887</v>
      </c>
      <c r="P6" s="211">
        <f>I6*0.7</f>
        <v>508.20000000000005</v>
      </c>
      <c r="Q6" s="211">
        <f t="shared" ref="Q6:R7" si="2">J6*0.7</f>
        <v>431.2</v>
      </c>
      <c r="R6" s="211">
        <f t="shared" si="2"/>
        <v>304.15000000000003</v>
      </c>
    </row>
    <row r="7" spans="1:18" ht="43.5" customHeight="1" x14ac:dyDescent="0.25">
      <c r="A7" s="72">
        <v>2</v>
      </c>
      <c r="B7" s="148" t="s">
        <v>767</v>
      </c>
      <c r="C7" s="210">
        <v>600</v>
      </c>
      <c r="D7" s="210">
        <v>490</v>
      </c>
      <c r="E7" s="210">
        <v>340</v>
      </c>
      <c r="F7" s="210"/>
      <c r="G7" s="64">
        <v>2</v>
      </c>
      <c r="H7" s="86" t="str">
        <f t="shared" ref="H7:H26" si="3">B7</f>
        <v>Đoạn từ đầu cầu Tạo Sen hết địa phận thị xã Mường Lay.</v>
      </c>
      <c r="I7" s="211">
        <f t="shared" si="0"/>
        <v>660</v>
      </c>
      <c r="J7" s="211">
        <f t="shared" si="0"/>
        <v>539</v>
      </c>
      <c r="K7" s="211">
        <f t="shared" si="0"/>
        <v>374.00000000000006</v>
      </c>
      <c r="L7" s="211"/>
      <c r="M7" s="65"/>
      <c r="N7" s="65">
        <f t="shared" si="1"/>
        <v>2</v>
      </c>
      <c r="O7" s="86" t="str">
        <f t="shared" si="1"/>
        <v>Đoạn từ đầu cầu Tạo Sen hết địa phận thị xã Mường Lay.</v>
      </c>
      <c r="P7" s="211">
        <f t="shared" ref="P7:R26" si="4">I7*0.7</f>
        <v>461.99999999999994</v>
      </c>
      <c r="Q7" s="211">
        <f t="shared" si="2"/>
        <v>377.29999999999995</v>
      </c>
      <c r="R7" s="211">
        <f t="shared" si="2"/>
        <v>261.8</v>
      </c>
    </row>
    <row r="8" spans="1:18" ht="75" customHeight="1" x14ac:dyDescent="0.25">
      <c r="A8" s="72">
        <v>3</v>
      </c>
      <c r="B8" s="148" t="s">
        <v>768</v>
      </c>
      <c r="C8" s="210">
        <v>800</v>
      </c>
      <c r="D8" s="207"/>
      <c r="E8" s="207"/>
      <c r="F8" s="207"/>
      <c r="G8" s="65">
        <v>3</v>
      </c>
      <c r="H8" s="86" t="str">
        <f t="shared" si="3"/>
        <v>Đường tỉnh lộ 142 đoạn từ đầu cầu Nam Nậm Cản đến hết đất thửa số 56 tờ bản đồ số 7 (nút giao với đường NC12 hết bản Na Ka)</v>
      </c>
      <c r="I8" s="211">
        <f>C8*1.1</f>
        <v>880.00000000000011</v>
      </c>
      <c r="J8" s="211"/>
      <c r="K8" s="211"/>
      <c r="L8" s="211"/>
      <c r="M8" s="65"/>
      <c r="N8" s="65">
        <f t="shared" si="1"/>
        <v>3</v>
      </c>
      <c r="O8" s="86" t="str">
        <f t="shared" si="1"/>
        <v>Đường tỉnh lộ 142 đoạn từ đầu cầu Nam Nậm Cản đến hết đất thửa số 56 tờ bản đồ số 7 (nút giao với đường NC12 hết bản Na Ka)</v>
      </c>
      <c r="P8" s="211">
        <f t="shared" si="4"/>
        <v>616</v>
      </c>
      <c r="Q8" s="211"/>
      <c r="R8" s="211"/>
    </row>
    <row r="9" spans="1:18" ht="16.5" x14ac:dyDescent="0.25">
      <c r="A9" s="147" t="s">
        <v>17</v>
      </c>
      <c r="B9" s="151" t="s">
        <v>769</v>
      </c>
      <c r="C9" s="212"/>
      <c r="D9" s="210"/>
      <c r="E9" s="210"/>
      <c r="F9" s="210"/>
      <c r="G9" s="60" t="str">
        <f t="shared" ref="G9:G23" si="5">A9</f>
        <v>II</v>
      </c>
      <c r="H9" s="76" t="str">
        <f t="shared" si="3"/>
        <v>Trục đường Quốc lộ 12.</v>
      </c>
      <c r="I9" s="211"/>
      <c r="J9" s="211"/>
      <c r="K9" s="211"/>
      <c r="L9" s="211"/>
      <c r="M9" s="65"/>
      <c r="N9" s="61" t="str">
        <f t="shared" si="1"/>
        <v>II</v>
      </c>
      <c r="O9" s="76" t="str">
        <f t="shared" si="1"/>
        <v>Trục đường Quốc lộ 12.</v>
      </c>
      <c r="P9" s="211"/>
      <c r="Q9" s="211"/>
      <c r="R9" s="211"/>
    </row>
    <row r="10" spans="1:18" ht="33" x14ac:dyDescent="0.25">
      <c r="A10" s="72">
        <v>1</v>
      </c>
      <c r="B10" s="148" t="s">
        <v>770</v>
      </c>
      <c r="C10" s="210">
        <v>660</v>
      </c>
      <c r="D10" s="210">
        <v>420</v>
      </c>
      <c r="E10" s="210">
        <v>350</v>
      </c>
      <c r="F10" s="210"/>
      <c r="G10" s="65">
        <f t="shared" si="5"/>
        <v>1</v>
      </c>
      <c r="H10" s="86" t="str">
        <f t="shared" si="3"/>
        <v>Đoạn từ điểm giao địa phận phường Na Lay đến nam Cầu Huổi Hái.</v>
      </c>
      <c r="I10" s="211">
        <f t="shared" ref="I10:K12" si="6">C10*1.1</f>
        <v>726.00000000000011</v>
      </c>
      <c r="J10" s="211">
        <f t="shared" si="6"/>
        <v>462.00000000000006</v>
      </c>
      <c r="K10" s="211">
        <f t="shared" si="6"/>
        <v>385.00000000000006</v>
      </c>
      <c r="L10" s="211"/>
      <c r="M10" s="65"/>
      <c r="N10" s="65">
        <f t="shared" si="1"/>
        <v>1</v>
      </c>
      <c r="O10" s="86" t="str">
        <f t="shared" si="1"/>
        <v>Đoạn từ điểm giao địa phận phường Na Lay đến nam Cầu Huổi Hái.</v>
      </c>
      <c r="P10" s="211">
        <f t="shared" si="4"/>
        <v>508.20000000000005</v>
      </c>
      <c r="Q10" s="211">
        <f t="shared" si="4"/>
        <v>323.40000000000003</v>
      </c>
      <c r="R10" s="211">
        <f t="shared" si="4"/>
        <v>269.5</v>
      </c>
    </row>
    <row r="11" spans="1:18" ht="33" x14ac:dyDescent="0.25">
      <c r="A11" s="72">
        <v>2</v>
      </c>
      <c r="B11" s="148" t="s">
        <v>771</v>
      </c>
      <c r="C11" s="210">
        <v>590</v>
      </c>
      <c r="D11" s="210">
        <v>490</v>
      </c>
      <c r="E11" s="210">
        <v>325</v>
      </c>
      <c r="F11" s="210"/>
      <c r="G11" s="65">
        <f t="shared" si="5"/>
        <v>2</v>
      </c>
      <c r="H11" s="86" t="str">
        <f t="shared" si="3"/>
        <v>Đoạn từ nam cầu Huổi Hái đến nam Huổi Phán</v>
      </c>
      <c r="I11" s="211">
        <f t="shared" si="6"/>
        <v>649</v>
      </c>
      <c r="J11" s="211">
        <f t="shared" si="6"/>
        <v>539</v>
      </c>
      <c r="K11" s="211">
        <f t="shared" si="6"/>
        <v>357.50000000000006</v>
      </c>
      <c r="L11" s="211"/>
      <c r="M11" s="65"/>
      <c r="N11" s="65">
        <f t="shared" si="1"/>
        <v>2</v>
      </c>
      <c r="O11" s="86" t="str">
        <f t="shared" si="1"/>
        <v>Đoạn từ nam cầu Huổi Hái đến nam Huổi Phán</v>
      </c>
      <c r="P11" s="211">
        <f t="shared" si="4"/>
        <v>454.29999999999995</v>
      </c>
      <c r="Q11" s="211">
        <f t="shared" si="4"/>
        <v>377.29999999999995</v>
      </c>
      <c r="R11" s="211">
        <f t="shared" si="4"/>
        <v>250.25000000000003</v>
      </c>
    </row>
    <row r="12" spans="1:18" ht="33" x14ac:dyDescent="0.25">
      <c r="A12" s="72">
        <v>3</v>
      </c>
      <c r="B12" s="148" t="s">
        <v>772</v>
      </c>
      <c r="C12" s="210">
        <v>450</v>
      </c>
      <c r="D12" s="210">
        <v>430</v>
      </c>
      <c r="E12" s="210">
        <v>310</v>
      </c>
      <c r="F12" s="210"/>
      <c r="G12" s="65">
        <f t="shared" si="5"/>
        <v>3</v>
      </c>
      <c r="H12" s="86" t="str">
        <f t="shared" si="3"/>
        <v>Đoạn từ nam cầu Huổi Phán đến hết địa phận thị xã Mường Lay</v>
      </c>
      <c r="I12" s="211">
        <f t="shared" si="6"/>
        <v>495.00000000000006</v>
      </c>
      <c r="J12" s="211">
        <f t="shared" si="6"/>
        <v>473.00000000000006</v>
      </c>
      <c r="K12" s="211">
        <f t="shared" si="6"/>
        <v>341</v>
      </c>
      <c r="L12" s="211"/>
      <c r="M12" s="65"/>
      <c r="N12" s="65">
        <f t="shared" si="1"/>
        <v>3</v>
      </c>
      <c r="O12" s="86" t="str">
        <f t="shared" si="1"/>
        <v>Đoạn từ nam cầu Huổi Phán đến hết địa phận thị xã Mường Lay</v>
      </c>
      <c r="P12" s="211">
        <f t="shared" si="4"/>
        <v>346.5</v>
      </c>
      <c r="Q12" s="211">
        <f t="shared" si="4"/>
        <v>331.1</v>
      </c>
      <c r="R12" s="211">
        <f t="shared" si="4"/>
        <v>238.7</v>
      </c>
    </row>
    <row r="13" spans="1:18" ht="49.5" x14ac:dyDescent="0.25">
      <c r="A13" s="147" t="s">
        <v>28</v>
      </c>
      <c r="B13" s="151" t="s">
        <v>773</v>
      </c>
      <c r="C13" s="210"/>
      <c r="D13" s="210"/>
      <c r="E13" s="210"/>
      <c r="F13" s="210"/>
      <c r="G13" s="61" t="str">
        <f t="shared" si="5"/>
        <v>III</v>
      </c>
      <c r="H13" s="76" t="str">
        <f t="shared" si="3"/>
        <v>Đường giao thông nội bộ khu TĐC Bản Bắc 1, Bắc 2, Bản Ổ, Bản Na Ka.</v>
      </c>
      <c r="I13" s="211"/>
      <c r="J13" s="211"/>
      <c r="K13" s="211"/>
      <c r="L13" s="211"/>
      <c r="M13" s="65"/>
      <c r="N13" s="61" t="str">
        <f t="shared" si="1"/>
        <v>III</v>
      </c>
      <c r="O13" s="76" t="str">
        <f t="shared" si="1"/>
        <v>Đường giao thông nội bộ khu TĐC Bản Bắc 1, Bắc 2, Bản Ổ, Bản Na Ka.</v>
      </c>
      <c r="P13" s="211"/>
      <c r="Q13" s="211"/>
      <c r="R13" s="211"/>
    </row>
    <row r="14" spans="1:18" ht="81" customHeight="1" x14ac:dyDescent="0.25">
      <c r="A14" s="72">
        <v>1</v>
      </c>
      <c r="B14" s="148" t="s">
        <v>774</v>
      </c>
      <c r="C14" s="210">
        <v>660</v>
      </c>
      <c r="D14" s="210"/>
      <c r="E14" s="210"/>
      <c r="F14" s="210"/>
      <c r="G14" s="65">
        <f t="shared" si="5"/>
        <v>1</v>
      </c>
      <c r="H14" s="86" t="str">
        <f t="shared" si="3"/>
        <v>Đường N19A: Đoạn từ nút giao với đường N13A đến ngã ba giao nhau với đường CK1 và đường N13A ;</v>
      </c>
      <c r="I14" s="211">
        <f>C14*1.1</f>
        <v>726.00000000000011</v>
      </c>
      <c r="J14" s="211"/>
      <c r="K14" s="211"/>
      <c r="L14" s="211"/>
      <c r="M14" s="65"/>
      <c r="N14" s="65">
        <f t="shared" si="1"/>
        <v>1</v>
      </c>
      <c r="O14" s="86" t="s">
        <v>888</v>
      </c>
      <c r="P14" s="211">
        <f t="shared" si="4"/>
        <v>508.20000000000005</v>
      </c>
      <c r="Q14" s="211"/>
      <c r="R14" s="211"/>
    </row>
    <row r="15" spans="1:18" ht="57" customHeight="1" x14ac:dyDescent="0.25">
      <c r="A15" s="72">
        <v>2</v>
      </c>
      <c r="B15" s="148" t="s">
        <v>775</v>
      </c>
      <c r="C15" s="210">
        <v>660</v>
      </c>
      <c r="D15" s="210"/>
      <c r="E15" s="210"/>
      <c r="F15" s="210"/>
      <c r="G15" s="65">
        <f t="shared" si="5"/>
        <v>2</v>
      </c>
      <c r="H15" s="86" t="str">
        <f t="shared" si="3"/>
        <v>Đường N13A: Đoạn từ nút giao với đường Quốc lộ 12 đến ngã ba giao nhau với đường CK1 và đường N19A.</v>
      </c>
      <c r="I15" s="211">
        <f>C15*1.1</f>
        <v>726.00000000000011</v>
      </c>
      <c r="J15" s="211"/>
      <c r="K15" s="211"/>
      <c r="L15" s="211"/>
      <c r="M15" s="65"/>
      <c r="N15" s="65">
        <f t="shared" si="1"/>
        <v>2</v>
      </c>
      <c r="O15" s="86" t="s">
        <v>889</v>
      </c>
      <c r="P15" s="211">
        <f t="shared" si="4"/>
        <v>508.20000000000005</v>
      </c>
      <c r="Q15" s="211"/>
      <c r="R15" s="211"/>
    </row>
    <row r="16" spans="1:18" ht="79.5" customHeight="1" x14ac:dyDescent="0.25">
      <c r="A16" s="72">
        <v>3</v>
      </c>
      <c r="B16" s="148" t="s">
        <v>776</v>
      </c>
      <c r="C16" s="210">
        <v>575</v>
      </c>
      <c r="D16" s="210"/>
      <c r="E16" s="210"/>
      <c r="F16" s="210"/>
      <c r="G16" s="65">
        <f t="shared" si="5"/>
        <v>3</v>
      </c>
      <c r="H16" s="148" t="s">
        <v>777</v>
      </c>
      <c r="I16" s="211">
        <f>C16*1.1</f>
        <v>632.5</v>
      </c>
      <c r="J16" s="211"/>
      <c r="K16" s="211"/>
      <c r="L16" s="211"/>
      <c r="M16" s="65"/>
      <c r="N16" s="65">
        <f t="shared" si="1"/>
        <v>3</v>
      </c>
      <c r="O16" s="86" t="s">
        <v>890</v>
      </c>
      <c r="P16" s="211">
        <f t="shared" si="4"/>
        <v>442.75</v>
      </c>
      <c r="Q16" s="211"/>
      <c r="R16" s="211"/>
    </row>
    <row r="17" spans="1:18" ht="49.5" x14ac:dyDescent="0.25">
      <c r="A17" s="72">
        <v>4</v>
      </c>
      <c r="B17" s="71" t="s">
        <v>778</v>
      </c>
      <c r="C17" s="210">
        <v>770</v>
      </c>
      <c r="D17" s="210"/>
      <c r="E17" s="210"/>
      <c r="F17" s="210"/>
      <c r="G17" s="65">
        <f t="shared" si="5"/>
        <v>4</v>
      </c>
      <c r="H17" s="86" t="str">
        <f>B17</f>
        <v>Đường NC14: Đoạn từ nút giao với Tỉnh Lộ 142 đến nút giao với đường NC12.</v>
      </c>
      <c r="I17" s="211">
        <f>C17*1.1</f>
        <v>847.00000000000011</v>
      </c>
      <c r="J17" s="213"/>
      <c r="K17" s="213"/>
      <c r="L17" s="213"/>
      <c r="M17" s="65"/>
      <c r="N17" s="65">
        <f t="shared" si="1"/>
        <v>4</v>
      </c>
      <c r="O17" s="86" t="str">
        <f t="shared" si="1"/>
        <v>Đường NC14: Đoạn từ nút giao với Tỉnh Lộ 142 đến nút giao với đường NC12.</v>
      </c>
      <c r="P17" s="211">
        <f t="shared" si="4"/>
        <v>592.90000000000009</v>
      </c>
      <c r="Q17" s="213"/>
      <c r="R17" s="213"/>
    </row>
    <row r="18" spans="1:18" ht="32.25" customHeight="1" x14ac:dyDescent="0.25">
      <c r="A18" s="72">
        <v>5</v>
      </c>
      <c r="B18" s="214" t="s">
        <v>779</v>
      </c>
      <c r="C18" s="210">
        <v>660</v>
      </c>
      <c r="D18" s="210"/>
      <c r="E18" s="210"/>
      <c r="F18" s="210"/>
      <c r="G18" s="65">
        <f t="shared" si="5"/>
        <v>5</v>
      </c>
      <c r="H18" s="86" t="str">
        <f t="shared" si="3"/>
        <v>Đường NC12: Đoạn từ giao nhau với đường NC14 chạy ven hồ đến nút giao với đường Tỉnh Lộ 142.</v>
      </c>
      <c r="I18" s="211">
        <f>C18*1.1</f>
        <v>726.00000000000011</v>
      </c>
      <c r="J18" s="213"/>
      <c r="K18" s="213"/>
      <c r="L18" s="213"/>
      <c r="M18" s="65"/>
      <c r="N18" s="65">
        <f t="shared" si="1"/>
        <v>5</v>
      </c>
      <c r="O18" s="86" t="s">
        <v>891</v>
      </c>
      <c r="P18" s="211">
        <f t="shared" si="4"/>
        <v>508.20000000000005</v>
      </c>
      <c r="Q18" s="213"/>
      <c r="R18" s="213"/>
    </row>
    <row r="19" spans="1:18" ht="16.5" x14ac:dyDescent="0.25">
      <c r="A19" s="147" t="s">
        <v>34</v>
      </c>
      <c r="B19" s="151" t="s">
        <v>780</v>
      </c>
      <c r="C19" s="212"/>
      <c r="D19" s="210"/>
      <c r="E19" s="210"/>
      <c r="F19" s="210"/>
      <c r="G19" s="61" t="str">
        <f t="shared" si="5"/>
        <v>IV</v>
      </c>
      <c r="H19" s="76" t="str">
        <f t="shared" si="3"/>
        <v>Các bản vùng cao</v>
      </c>
      <c r="I19" s="211"/>
      <c r="J19" s="213"/>
      <c r="K19" s="213"/>
      <c r="L19" s="213"/>
      <c r="M19" s="65"/>
      <c r="N19" s="61" t="str">
        <f t="shared" si="1"/>
        <v>IV</v>
      </c>
      <c r="O19" s="76" t="str">
        <f t="shared" si="1"/>
        <v>Các bản vùng cao</v>
      </c>
      <c r="P19" s="211"/>
      <c r="Q19" s="213"/>
      <c r="R19" s="213"/>
    </row>
    <row r="20" spans="1:18" ht="16.5" x14ac:dyDescent="0.25">
      <c r="A20" s="72">
        <v>1</v>
      </c>
      <c r="B20" s="148" t="s">
        <v>781</v>
      </c>
      <c r="C20" s="212">
        <v>65</v>
      </c>
      <c r="D20" s="210"/>
      <c r="E20" s="210"/>
      <c r="F20" s="210"/>
      <c r="G20" s="65">
        <f t="shared" si="5"/>
        <v>1</v>
      </c>
      <c r="H20" s="86" t="str">
        <f t="shared" si="3"/>
        <v>Bản Hô Huổi Luông</v>
      </c>
      <c r="I20" s="211">
        <f>C20*1.1</f>
        <v>71.5</v>
      </c>
      <c r="J20" s="213"/>
      <c r="K20" s="213"/>
      <c r="L20" s="213"/>
      <c r="M20" s="65"/>
      <c r="N20" s="65">
        <f t="shared" si="1"/>
        <v>1</v>
      </c>
      <c r="O20" s="86" t="str">
        <f t="shared" si="1"/>
        <v>Bản Hô Huổi Luông</v>
      </c>
      <c r="P20" s="211">
        <f t="shared" si="4"/>
        <v>50.05</v>
      </c>
      <c r="Q20" s="213"/>
      <c r="R20" s="213"/>
    </row>
    <row r="21" spans="1:18" ht="16.5" x14ac:dyDescent="0.25">
      <c r="A21" s="72">
        <v>2</v>
      </c>
      <c r="B21" s="148" t="s">
        <v>782</v>
      </c>
      <c r="C21" s="212">
        <v>65</v>
      </c>
      <c r="D21" s="210"/>
      <c r="E21" s="210"/>
      <c r="F21" s="210"/>
      <c r="G21" s="65">
        <f t="shared" si="5"/>
        <v>2</v>
      </c>
      <c r="H21" s="86" t="str">
        <f t="shared" si="3"/>
        <v>Bản Hô Nậm Cản</v>
      </c>
      <c r="I21" s="211">
        <f>C21*1.1</f>
        <v>71.5</v>
      </c>
      <c r="J21" s="213"/>
      <c r="K21" s="213"/>
      <c r="L21" s="213"/>
      <c r="M21" s="65"/>
      <c r="N21" s="65">
        <f t="shared" si="1"/>
        <v>2</v>
      </c>
      <c r="O21" s="86" t="str">
        <f t="shared" si="1"/>
        <v>Bản Hô Nậm Cản</v>
      </c>
      <c r="P21" s="211">
        <f t="shared" si="4"/>
        <v>50.05</v>
      </c>
      <c r="Q21" s="213"/>
      <c r="R21" s="213"/>
    </row>
    <row r="22" spans="1:18" ht="16.5" x14ac:dyDescent="0.25">
      <c r="A22" s="72">
        <v>3</v>
      </c>
      <c r="B22" s="148" t="s">
        <v>783</v>
      </c>
      <c r="C22" s="212">
        <v>65</v>
      </c>
      <c r="D22" s="210"/>
      <c r="E22" s="210"/>
      <c r="F22" s="210"/>
      <c r="G22" s="65">
        <f t="shared" si="5"/>
        <v>3</v>
      </c>
      <c r="H22" s="86" t="str">
        <f t="shared" si="3"/>
        <v>Bản Huổi Luân</v>
      </c>
      <c r="I22" s="211">
        <f>C22*1.1</f>
        <v>71.5</v>
      </c>
      <c r="J22" s="213"/>
      <c r="K22" s="213"/>
      <c r="L22" s="213"/>
      <c r="M22" s="65"/>
      <c r="N22" s="65">
        <f t="shared" si="1"/>
        <v>3</v>
      </c>
      <c r="O22" s="86" t="str">
        <f t="shared" si="1"/>
        <v>Bản Huổi Luân</v>
      </c>
      <c r="P22" s="211">
        <f t="shared" si="4"/>
        <v>50.05</v>
      </c>
      <c r="Q22" s="213"/>
      <c r="R22" s="213"/>
    </row>
    <row r="23" spans="1:18" ht="16.5" x14ac:dyDescent="0.25">
      <c r="A23" s="147" t="s">
        <v>42</v>
      </c>
      <c r="B23" s="151" t="s">
        <v>784</v>
      </c>
      <c r="C23" s="207"/>
      <c r="D23" s="208"/>
      <c r="E23" s="208"/>
      <c r="F23" s="208"/>
      <c r="G23" s="61" t="str">
        <f t="shared" si="5"/>
        <v>V</v>
      </c>
      <c r="H23" s="76" t="str">
        <f t="shared" si="3"/>
        <v>Các đường nội bản vùng thấp</v>
      </c>
      <c r="I23" s="211"/>
      <c r="J23" s="213"/>
      <c r="K23" s="213"/>
      <c r="L23" s="213"/>
      <c r="M23" s="65"/>
      <c r="N23" s="61" t="str">
        <f t="shared" si="1"/>
        <v>V</v>
      </c>
      <c r="O23" s="76" t="str">
        <f t="shared" si="1"/>
        <v>Các đường nội bản vùng thấp</v>
      </c>
      <c r="P23" s="211"/>
      <c r="Q23" s="213"/>
      <c r="R23" s="213"/>
    </row>
    <row r="24" spans="1:18" ht="16.5" x14ac:dyDescent="0.25">
      <c r="A24" s="72"/>
      <c r="B24" s="215" t="s">
        <v>785</v>
      </c>
      <c r="C24" s="212">
        <v>400</v>
      </c>
      <c r="D24" s="208"/>
      <c r="E24" s="208"/>
      <c r="F24" s="208"/>
      <c r="G24" s="65"/>
      <c r="H24" s="86" t="str">
        <f t="shared" si="3"/>
        <v>- Đường nhựa</v>
      </c>
      <c r="I24" s="211">
        <f>C24*1.1</f>
        <v>440.00000000000006</v>
      </c>
      <c r="J24" s="213"/>
      <c r="K24" s="213"/>
      <c r="L24" s="213"/>
      <c r="M24" s="65"/>
      <c r="N24" s="61"/>
      <c r="O24" s="86" t="str">
        <f t="shared" ref="O24:O26" si="7">H24</f>
        <v>- Đường nhựa</v>
      </c>
      <c r="P24" s="211">
        <f t="shared" si="4"/>
        <v>308</v>
      </c>
      <c r="Q24" s="213"/>
      <c r="R24" s="213"/>
    </row>
    <row r="25" spans="1:18" ht="27" customHeight="1" x14ac:dyDescent="0.25">
      <c r="A25" s="72"/>
      <c r="B25" s="215" t="s">
        <v>786</v>
      </c>
      <c r="C25" s="212">
        <v>320</v>
      </c>
      <c r="D25" s="207"/>
      <c r="E25" s="207"/>
      <c r="F25" s="207"/>
      <c r="G25" s="65"/>
      <c r="H25" s="86" t="str">
        <f t="shared" si="3"/>
        <v>- Các trục đường bê tông nội bản</v>
      </c>
      <c r="I25" s="211">
        <v>386</v>
      </c>
      <c r="J25" s="213"/>
      <c r="K25" s="213"/>
      <c r="L25" s="213"/>
      <c r="M25" s="64" t="s">
        <v>787</v>
      </c>
      <c r="N25" s="61"/>
      <c r="O25" s="86" t="str">
        <f t="shared" si="7"/>
        <v>- Các trục đường bê tông nội bản</v>
      </c>
      <c r="P25" s="211">
        <f t="shared" si="4"/>
        <v>270.2</v>
      </c>
      <c r="Q25" s="213"/>
      <c r="R25" s="213"/>
    </row>
    <row r="26" spans="1:18" ht="16.5" x14ac:dyDescent="0.25">
      <c r="A26" s="204"/>
      <c r="B26" s="215" t="s">
        <v>788</v>
      </c>
      <c r="C26" s="212">
        <v>200</v>
      </c>
      <c r="D26" s="207"/>
      <c r="E26" s="207"/>
      <c r="F26" s="207"/>
      <c r="G26" s="65"/>
      <c r="H26" s="86" t="str">
        <f t="shared" si="3"/>
        <v xml:space="preserve">- Các trục đường đất nội bản </v>
      </c>
      <c r="I26" s="211">
        <f>C26*1.1</f>
        <v>220.00000000000003</v>
      </c>
      <c r="J26" s="213"/>
      <c r="K26" s="213"/>
      <c r="L26" s="213"/>
      <c r="M26" s="65"/>
      <c r="N26" s="61"/>
      <c r="O26" s="86" t="str">
        <f t="shared" si="7"/>
        <v xml:space="preserve">- Các trục đường đất nội bản </v>
      </c>
      <c r="P26" s="211">
        <f t="shared" si="4"/>
        <v>154</v>
      </c>
      <c r="Q26" s="213"/>
      <c r="R26" s="213"/>
    </row>
  </sheetData>
  <mergeCells count="7">
    <mergeCell ref="N1:R1"/>
    <mergeCell ref="C2:F2"/>
    <mergeCell ref="J2:M2"/>
    <mergeCell ref="N3:N4"/>
    <mergeCell ref="O3:O4"/>
    <mergeCell ref="P3:R3"/>
    <mergeCell ref="O2:R2"/>
  </mergeCells>
  <pageMargins left="0.18740157480315001" right="0.19055118110236199" top="0.49055118110236201" bottom="0.19055118110236199" header="0.118110236220472" footer="0.118110236220472"/>
  <pageSetup paperSize="9" firstPageNumber="50" orientation="portrait"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opLeftCell="G1" zoomScale="85" zoomScaleNormal="85" workbookViewId="0">
      <selection activeCell="R9" sqref="R9"/>
    </sheetView>
  </sheetViews>
  <sheetFormatPr defaultRowHeight="16.5" x14ac:dyDescent="0.25"/>
  <cols>
    <col min="1" max="1" width="8.140625" style="57" hidden="1" customWidth="1"/>
    <col min="2" max="2" width="46.5703125" style="57" hidden="1" customWidth="1"/>
    <col min="3" max="6" width="12.28515625" style="77" hidden="1" customWidth="1"/>
    <col min="7" max="7" width="8.140625" style="57" customWidth="1"/>
    <col min="8" max="8" width="65.5703125" style="57" customWidth="1"/>
    <col min="9" max="12" width="12.28515625" style="78" hidden="1" customWidth="1"/>
    <col min="13" max="13" width="14.7109375" style="78" customWidth="1"/>
    <col min="14" max="14" width="13.42578125" style="78" customWidth="1"/>
    <col min="15" max="15" width="14.42578125" style="78" customWidth="1"/>
    <col min="16" max="16" width="9.140625" style="57" customWidth="1"/>
    <col min="17" max="254" width="9.140625" style="57"/>
    <col min="255" max="255" width="8.140625" style="57" customWidth="1"/>
    <col min="256" max="256" width="46.5703125" style="57" customWidth="1"/>
    <col min="257" max="260" width="12.28515625" style="57" customWidth="1"/>
    <col min="261" max="261" width="8.140625" style="57" customWidth="1"/>
    <col min="262" max="262" width="47.28515625" style="57" customWidth="1"/>
    <col min="263" max="266" width="12.28515625" style="57" customWidth="1"/>
    <col min="267" max="267" width="48.5703125" style="57" customWidth="1"/>
    <col min="268" max="270" width="12.28515625" style="57" bestFit="1" customWidth="1"/>
    <col min="271" max="510" width="9.140625" style="57"/>
    <col min="511" max="511" width="8.140625" style="57" customWidth="1"/>
    <col min="512" max="512" width="46.5703125" style="57" customWidth="1"/>
    <col min="513" max="516" width="12.28515625" style="57" customWidth="1"/>
    <col min="517" max="517" width="8.140625" style="57" customWidth="1"/>
    <col min="518" max="518" width="47.28515625" style="57" customWidth="1"/>
    <col min="519" max="522" width="12.28515625" style="57" customWidth="1"/>
    <col min="523" max="523" width="48.5703125" style="57" customWidth="1"/>
    <col min="524" max="526" width="12.28515625" style="57" bestFit="1" customWidth="1"/>
    <col min="527" max="766" width="9.140625" style="57"/>
    <col min="767" max="767" width="8.140625" style="57" customWidth="1"/>
    <col min="768" max="768" width="46.5703125" style="57" customWidth="1"/>
    <col min="769" max="772" width="12.28515625" style="57" customWidth="1"/>
    <col min="773" max="773" width="8.140625" style="57" customWidth="1"/>
    <col min="774" max="774" width="47.28515625" style="57" customWidth="1"/>
    <col min="775" max="778" width="12.28515625" style="57" customWidth="1"/>
    <col min="779" max="779" width="48.5703125" style="57" customWidth="1"/>
    <col min="780" max="782" width="12.28515625" style="57" bestFit="1" customWidth="1"/>
    <col min="783" max="1022" width="9.140625" style="57"/>
    <col min="1023" max="1023" width="8.140625" style="57" customWidth="1"/>
    <col min="1024" max="1024" width="46.5703125" style="57" customWidth="1"/>
    <col min="1025" max="1028" width="12.28515625" style="57" customWidth="1"/>
    <col min="1029" max="1029" width="8.140625" style="57" customWidth="1"/>
    <col min="1030" max="1030" width="47.28515625" style="57" customWidth="1"/>
    <col min="1031" max="1034" width="12.28515625" style="57" customWidth="1"/>
    <col min="1035" max="1035" width="48.5703125" style="57" customWidth="1"/>
    <col min="1036" max="1038" width="12.28515625" style="57" bestFit="1" customWidth="1"/>
    <col min="1039" max="1278" width="9.140625" style="57"/>
    <col min="1279" max="1279" width="8.140625" style="57" customWidth="1"/>
    <col min="1280" max="1280" width="46.5703125" style="57" customWidth="1"/>
    <col min="1281" max="1284" width="12.28515625" style="57" customWidth="1"/>
    <col min="1285" max="1285" width="8.140625" style="57" customWidth="1"/>
    <col min="1286" max="1286" width="47.28515625" style="57" customWidth="1"/>
    <col min="1287" max="1290" width="12.28515625" style="57" customWidth="1"/>
    <col min="1291" max="1291" width="48.5703125" style="57" customWidth="1"/>
    <col min="1292" max="1294" width="12.28515625" style="57" bestFit="1" customWidth="1"/>
    <col min="1295" max="1534" width="9.140625" style="57"/>
    <col min="1535" max="1535" width="8.140625" style="57" customWidth="1"/>
    <col min="1536" max="1536" width="46.5703125" style="57" customWidth="1"/>
    <col min="1537" max="1540" width="12.28515625" style="57" customWidth="1"/>
    <col min="1541" max="1541" width="8.140625" style="57" customWidth="1"/>
    <col min="1542" max="1542" width="47.28515625" style="57" customWidth="1"/>
    <col min="1543" max="1546" width="12.28515625" style="57" customWidth="1"/>
    <col min="1547" max="1547" width="48.5703125" style="57" customWidth="1"/>
    <col min="1548" max="1550" width="12.28515625" style="57" bestFit="1" customWidth="1"/>
    <col min="1551" max="1790" width="9.140625" style="57"/>
    <col min="1791" max="1791" width="8.140625" style="57" customWidth="1"/>
    <col min="1792" max="1792" width="46.5703125" style="57" customWidth="1"/>
    <col min="1793" max="1796" width="12.28515625" style="57" customWidth="1"/>
    <col min="1797" max="1797" width="8.140625" style="57" customWidth="1"/>
    <col min="1798" max="1798" width="47.28515625" style="57" customWidth="1"/>
    <col min="1799" max="1802" width="12.28515625" style="57" customWidth="1"/>
    <col min="1803" max="1803" width="48.5703125" style="57" customWidth="1"/>
    <col min="1804" max="1806" width="12.28515625" style="57" bestFit="1" customWidth="1"/>
    <col min="1807" max="2046" width="9.140625" style="57"/>
    <col min="2047" max="2047" width="8.140625" style="57" customWidth="1"/>
    <col min="2048" max="2048" width="46.5703125" style="57" customWidth="1"/>
    <col min="2049" max="2052" width="12.28515625" style="57" customWidth="1"/>
    <col min="2053" max="2053" width="8.140625" style="57" customWidth="1"/>
    <col min="2054" max="2054" width="47.28515625" style="57" customWidth="1"/>
    <col min="2055" max="2058" width="12.28515625" style="57" customWidth="1"/>
    <col min="2059" max="2059" width="48.5703125" style="57" customWidth="1"/>
    <col min="2060" max="2062" width="12.28515625" style="57" bestFit="1" customWidth="1"/>
    <col min="2063" max="2302" width="9.140625" style="57"/>
    <col min="2303" max="2303" width="8.140625" style="57" customWidth="1"/>
    <col min="2304" max="2304" width="46.5703125" style="57" customWidth="1"/>
    <col min="2305" max="2308" width="12.28515625" style="57" customWidth="1"/>
    <col min="2309" max="2309" width="8.140625" style="57" customWidth="1"/>
    <col min="2310" max="2310" width="47.28515625" style="57" customWidth="1"/>
    <col min="2311" max="2314" width="12.28515625" style="57" customWidth="1"/>
    <col min="2315" max="2315" width="48.5703125" style="57" customWidth="1"/>
    <col min="2316" max="2318" width="12.28515625" style="57" bestFit="1" customWidth="1"/>
    <col min="2319" max="2558" width="9.140625" style="57"/>
    <col min="2559" max="2559" width="8.140625" style="57" customWidth="1"/>
    <col min="2560" max="2560" width="46.5703125" style="57" customWidth="1"/>
    <col min="2561" max="2564" width="12.28515625" style="57" customWidth="1"/>
    <col min="2565" max="2565" width="8.140625" style="57" customWidth="1"/>
    <col min="2566" max="2566" width="47.28515625" style="57" customWidth="1"/>
    <col min="2567" max="2570" width="12.28515625" style="57" customWidth="1"/>
    <col min="2571" max="2571" width="48.5703125" style="57" customWidth="1"/>
    <col min="2572" max="2574" width="12.28515625" style="57" bestFit="1" customWidth="1"/>
    <col min="2575" max="2814" width="9.140625" style="57"/>
    <col min="2815" max="2815" width="8.140625" style="57" customWidth="1"/>
    <col min="2816" max="2816" width="46.5703125" style="57" customWidth="1"/>
    <col min="2817" max="2820" width="12.28515625" style="57" customWidth="1"/>
    <col min="2821" max="2821" width="8.140625" style="57" customWidth="1"/>
    <col min="2822" max="2822" width="47.28515625" style="57" customWidth="1"/>
    <col min="2823" max="2826" width="12.28515625" style="57" customWidth="1"/>
    <col min="2827" max="2827" width="48.5703125" style="57" customWidth="1"/>
    <col min="2828" max="2830" width="12.28515625" style="57" bestFit="1" customWidth="1"/>
    <col min="2831" max="3070" width="9.140625" style="57"/>
    <col min="3071" max="3071" width="8.140625" style="57" customWidth="1"/>
    <col min="3072" max="3072" width="46.5703125" style="57" customWidth="1"/>
    <col min="3073" max="3076" width="12.28515625" style="57" customWidth="1"/>
    <col min="3077" max="3077" width="8.140625" style="57" customWidth="1"/>
    <col min="3078" max="3078" width="47.28515625" style="57" customWidth="1"/>
    <col min="3079" max="3082" width="12.28515625" style="57" customWidth="1"/>
    <col min="3083" max="3083" width="48.5703125" style="57" customWidth="1"/>
    <col min="3084" max="3086" width="12.28515625" style="57" bestFit="1" customWidth="1"/>
    <col min="3087" max="3326" width="9.140625" style="57"/>
    <col min="3327" max="3327" width="8.140625" style="57" customWidth="1"/>
    <col min="3328" max="3328" width="46.5703125" style="57" customWidth="1"/>
    <col min="3329" max="3332" width="12.28515625" style="57" customWidth="1"/>
    <col min="3333" max="3333" width="8.140625" style="57" customWidth="1"/>
    <col min="3334" max="3334" width="47.28515625" style="57" customWidth="1"/>
    <col min="3335" max="3338" width="12.28515625" style="57" customWidth="1"/>
    <col min="3339" max="3339" width="48.5703125" style="57" customWidth="1"/>
    <col min="3340" max="3342" width="12.28515625" style="57" bestFit="1" customWidth="1"/>
    <col min="3343" max="3582" width="9.140625" style="57"/>
    <col min="3583" max="3583" width="8.140625" style="57" customWidth="1"/>
    <col min="3584" max="3584" width="46.5703125" style="57" customWidth="1"/>
    <col min="3585" max="3588" width="12.28515625" style="57" customWidth="1"/>
    <col min="3589" max="3589" width="8.140625" style="57" customWidth="1"/>
    <col min="3590" max="3590" width="47.28515625" style="57" customWidth="1"/>
    <col min="3591" max="3594" width="12.28515625" style="57" customWidth="1"/>
    <col min="3595" max="3595" width="48.5703125" style="57" customWidth="1"/>
    <col min="3596" max="3598" width="12.28515625" style="57" bestFit="1" customWidth="1"/>
    <col min="3599" max="3838" width="9.140625" style="57"/>
    <col min="3839" max="3839" width="8.140625" style="57" customWidth="1"/>
    <col min="3840" max="3840" width="46.5703125" style="57" customWidth="1"/>
    <col min="3841" max="3844" width="12.28515625" style="57" customWidth="1"/>
    <col min="3845" max="3845" width="8.140625" style="57" customWidth="1"/>
    <col min="3846" max="3846" width="47.28515625" style="57" customWidth="1"/>
    <col min="3847" max="3850" width="12.28515625" style="57" customWidth="1"/>
    <col min="3851" max="3851" width="48.5703125" style="57" customWidth="1"/>
    <col min="3852" max="3854" width="12.28515625" style="57" bestFit="1" customWidth="1"/>
    <col min="3855" max="4094" width="9.140625" style="57"/>
    <col min="4095" max="4095" width="8.140625" style="57" customWidth="1"/>
    <col min="4096" max="4096" width="46.5703125" style="57" customWidth="1"/>
    <col min="4097" max="4100" width="12.28515625" style="57" customWidth="1"/>
    <col min="4101" max="4101" width="8.140625" style="57" customWidth="1"/>
    <col min="4102" max="4102" width="47.28515625" style="57" customWidth="1"/>
    <col min="4103" max="4106" width="12.28515625" style="57" customWidth="1"/>
    <col min="4107" max="4107" width="48.5703125" style="57" customWidth="1"/>
    <col min="4108" max="4110" width="12.28515625" style="57" bestFit="1" customWidth="1"/>
    <col min="4111" max="4350" width="9.140625" style="57"/>
    <col min="4351" max="4351" width="8.140625" style="57" customWidth="1"/>
    <col min="4352" max="4352" width="46.5703125" style="57" customWidth="1"/>
    <col min="4353" max="4356" width="12.28515625" style="57" customWidth="1"/>
    <col min="4357" max="4357" width="8.140625" style="57" customWidth="1"/>
    <col min="4358" max="4358" width="47.28515625" style="57" customWidth="1"/>
    <col min="4359" max="4362" width="12.28515625" style="57" customWidth="1"/>
    <col min="4363" max="4363" width="48.5703125" style="57" customWidth="1"/>
    <col min="4364" max="4366" width="12.28515625" style="57" bestFit="1" customWidth="1"/>
    <col min="4367" max="4606" width="9.140625" style="57"/>
    <col min="4607" max="4607" width="8.140625" style="57" customWidth="1"/>
    <col min="4608" max="4608" width="46.5703125" style="57" customWidth="1"/>
    <col min="4609" max="4612" width="12.28515625" style="57" customWidth="1"/>
    <col min="4613" max="4613" width="8.140625" style="57" customWidth="1"/>
    <col min="4614" max="4614" width="47.28515625" style="57" customWidth="1"/>
    <col min="4615" max="4618" width="12.28515625" style="57" customWidth="1"/>
    <col min="4619" max="4619" width="48.5703125" style="57" customWidth="1"/>
    <col min="4620" max="4622" width="12.28515625" style="57" bestFit="1" customWidth="1"/>
    <col min="4623" max="4862" width="9.140625" style="57"/>
    <col min="4863" max="4863" width="8.140625" style="57" customWidth="1"/>
    <col min="4864" max="4864" width="46.5703125" style="57" customWidth="1"/>
    <col min="4865" max="4868" width="12.28515625" style="57" customWidth="1"/>
    <col min="4869" max="4869" width="8.140625" style="57" customWidth="1"/>
    <col min="4870" max="4870" width="47.28515625" style="57" customWidth="1"/>
    <col min="4871" max="4874" width="12.28515625" style="57" customWidth="1"/>
    <col min="4875" max="4875" width="48.5703125" style="57" customWidth="1"/>
    <col min="4876" max="4878" width="12.28515625" style="57" bestFit="1" customWidth="1"/>
    <col min="4879" max="5118" width="9.140625" style="57"/>
    <col min="5119" max="5119" width="8.140625" style="57" customWidth="1"/>
    <col min="5120" max="5120" width="46.5703125" style="57" customWidth="1"/>
    <col min="5121" max="5124" width="12.28515625" style="57" customWidth="1"/>
    <col min="5125" max="5125" width="8.140625" style="57" customWidth="1"/>
    <col min="5126" max="5126" width="47.28515625" style="57" customWidth="1"/>
    <col min="5127" max="5130" width="12.28515625" style="57" customWidth="1"/>
    <col min="5131" max="5131" width="48.5703125" style="57" customWidth="1"/>
    <col min="5132" max="5134" width="12.28515625" style="57" bestFit="1" customWidth="1"/>
    <col min="5135" max="5374" width="9.140625" style="57"/>
    <col min="5375" max="5375" width="8.140625" style="57" customWidth="1"/>
    <col min="5376" max="5376" width="46.5703125" style="57" customWidth="1"/>
    <col min="5377" max="5380" width="12.28515625" style="57" customWidth="1"/>
    <col min="5381" max="5381" width="8.140625" style="57" customWidth="1"/>
    <col min="5382" max="5382" width="47.28515625" style="57" customWidth="1"/>
    <col min="5383" max="5386" width="12.28515625" style="57" customWidth="1"/>
    <col min="5387" max="5387" width="48.5703125" style="57" customWidth="1"/>
    <col min="5388" max="5390" width="12.28515625" style="57" bestFit="1" customWidth="1"/>
    <col min="5391" max="5630" width="9.140625" style="57"/>
    <col min="5631" max="5631" width="8.140625" style="57" customWidth="1"/>
    <col min="5632" max="5632" width="46.5703125" style="57" customWidth="1"/>
    <col min="5633" max="5636" width="12.28515625" style="57" customWidth="1"/>
    <col min="5637" max="5637" width="8.140625" style="57" customWidth="1"/>
    <col min="5638" max="5638" width="47.28515625" style="57" customWidth="1"/>
    <col min="5639" max="5642" width="12.28515625" style="57" customWidth="1"/>
    <col min="5643" max="5643" width="48.5703125" style="57" customWidth="1"/>
    <col min="5644" max="5646" width="12.28515625" style="57" bestFit="1" customWidth="1"/>
    <col min="5647" max="5886" width="9.140625" style="57"/>
    <col min="5887" max="5887" width="8.140625" style="57" customWidth="1"/>
    <col min="5888" max="5888" width="46.5703125" style="57" customWidth="1"/>
    <col min="5889" max="5892" width="12.28515625" style="57" customWidth="1"/>
    <col min="5893" max="5893" width="8.140625" style="57" customWidth="1"/>
    <col min="5894" max="5894" width="47.28515625" style="57" customWidth="1"/>
    <col min="5895" max="5898" width="12.28515625" style="57" customWidth="1"/>
    <col min="5899" max="5899" width="48.5703125" style="57" customWidth="1"/>
    <col min="5900" max="5902" width="12.28515625" style="57" bestFit="1" customWidth="1"/>
    <col min="5903" max="6142" width="9.140625" style="57"/>
    <col min="6143" max="6143" width="8.140625" style="57" customWidth="1"/>
    <col min="6144" max="6144" width="46.5703125" style="57" customWidth="1"/>
    <col min="6145" max="6148" width="12.28515625" style="57" customWidth="1"/>
    <col min="6149" max="6149" width="8.140625" style="57" customWidth="1"/>
    <col min="6150" max="6150" width="47.28515625" style="57" customWidth="1"/>
    <col min="6151" max="6154" width="12.28515625" style="57" customWidth="1"/>
    <col min="6155" max="6155" width="48.5703125" style="57" customWidth="1"/>
    <col min="6156" max="6158" width="12.28515625" style="57" bestFit="1" customWidth="1"/>
    <col min="6159" max="6398" width="9.140625" style="57"/>
    <col min="6399" max="6399" width="8.140625" style="57" customWidth="1"/>
    <col min="6400" max="6400" width="46.5703125" style="57" customWidth="1"/>
    <col min="6401" max="6404" width="12.28515625" style="57" customWidth="1"/>
    <col min="6405" max="6405" width="8.140625" style="57" customWidth="1"/>
    <col min="6406" max="6406" width="47.28515625" style="57" customWidth="1"/>
    <col min="6407" max="6410" width="12.28515625" style="57" customWidth="1"/>
    <col min="6411" max="6411" width="48.5703125" style="57" customWidth="1"/>
    <col min="6412" max="6414" width="12.28515625" style="57" bestFit="1" customWidth="1"/>
    <col min="6415" max="6654" width="9.140625" style="57"/>
    <col min="6655" max="6655" width="8.140625" style="57" customWidth="1"/>
    <col min="6656" max="6656" width="46.5703125" style="57" customWidth="1"/>
    <col min="6657" max="6660" width="12.28515625" style="57" customWidth="1"/>
    <col min="6661" max="6661" width="8.140625" style="57" customWidth="1"/>
    <col min="6662" max="6662" width="47.28515625" style="57" customWidth="1"/>
    <col min="6663" max="6666" width="12.28515625" style="57" customWidth="1"/>
    <col min="6667" max="6667" width="48.5703125" style="57" customWidth="1"/>
    <col min="6668" max="6670" width="12.28515625" style="57" bestFit="1" customWidth="1"/>
    <col min="6671" max="6910" width="9.140625" style="57"/>
    <col min="6911" max="6911" width="8.140625" style="57" customWidth="1"/>
    <col min="6912" max="6912" width="46.5703125" style="57" customWidth="1"/>
    <col min="6913" max="6916" width="12.28515625" style="57" customWidth="1"/>
    <col min="6917" max="6917" width="8.140625" style="57" customWidth="1"/>
    <col min="6918" max="6918" width="47.28515625" style="57" customWidth="1"/>
    <col min="6919" max="6922" width="12.28515625" style="57" customWidth="1"/>
    <col min="6923" max="6923" width="48.5703125" style="57" customWidth="1"/>
    <col min="6924" max="6926" width="12.28515625" style="57" bestFit="1" customWidth="1"/>
    <col min="6927" max="7166" width="9.140625" style="57"/>
    <col min="7167" max="7167" width="8.140625" style="57" customWidth="1"/>
    <col min="7168" max="7168" width="46.5703125" style="57" customWidth="1"/>
    <col min="7169" max="7172" width="12.28515625" style="57" customWidth="1"/>
    <col min="7173" max="7173" width="8.140625" style="57" customWidth="1"/>
    <col min="7174" max="7174" width="47.28515625" style="57" customWidth="1"/>
    <col min="7175" max="7178" width="12.28515625" style="57" customWidth="1"/>
    <col min="7179" max="7179" width="48.5703125" style="57" customWidth="1"/>
    <col min="7180" max="7182" width="12.28515625" style="57" bestFit="1" customWidth="1"/>
    <col min="7183" max="7422" width="9.140625" style="57"/>
    <col min="7423" max="7423" width="8.140625" style="57" customWidth="1"/>
    <col min="7424" max="7424" width="46.5703125" style="57" customWidth="1"/>
    <col min="7425" max="7428" width="12.28515625" style="57" customWidth="1"/>
    <col min="7429" max="7429" width="8.140625" style="57" customWidth="1"/>
    <col min="7430" max="7430" width="47.28515625" style="57" customWidth="1"/>
    <col min="7431" max="7434" width="12.28515625" style="57" customWidth="1"/>
    <col min="7435" max="7435" width="48.5703125" style="57" customWidth="1"/>
    <col min="7436" max="7438" width="12.28515625" style="57" bestFit="1" customWidth="1"/>
    <col min="7439" max="7678" width="9.140625" style="57"/>
    <col min="7679" max="7679" width="8.140625" style="57" customWidth="1"/>
    <col min="7680" max="7680" width="46.5703125" style="57" customWidth="1"/>
    <col min="7681" max="7684" width="12.28515625" style="57" customWidth="1"/>
    <col min="7685" max="7685" width="8.140625" style="57" customWidth="1"/>
    <col min="7686" max="7686" width="47.28515625" style="57" customWidth="1"/>
    <col min="7687" max="7690" width="12.28515625" style="57" customWidth="1"/>
    <col min="7691" max="7691" width="48.5703125" style="57" customWidth="1"/>
    <col min="7692" max="7694" width="12.28515625" style="57" bestFit="1" customWidth="1"/>
    <col min="7695" max="7934" width="9.140625" style="57"/>
    <col min="7935" max="7935" width="8.140625" style="57" customWidth="1"/>
    <col min="7936" max="7936" width="46.5703125" style="57" customWidth="1"/>
    <col min="7937" max="7940" width="12.28515625" style="57" customWidth="1"/>
    <col min="7941" max="7941" width="8.140625" style="57" customWidth="1"/>
    <col min="7942" max="7942" width="47.28515625" style="57" customWidth="1"/>
    <col min="7943" max="7946" width="12.28515625" style="57" customWidth="1"/>
    <col min="7947" max="7947" width="48.5703125" style="57" customWidth="1"/>
    <col min="7948" max="7950" width="12.28515625" style="57" bestFit="1" customWidth="1"/>
    <col min="7951" max="8190" width="9.140625" style="57"/>
    <col min="8191" max="8191" width="8.140625" style="57" customWidth="1"/>
    <col min="8192" max="8192" width="46.5703125" style="57" customWidth="1"/>
    <col min="8193" max="8196" width="12.28515625" style="57" customWidth="1"/>
    <col min="8197" max="8197" width="8.140625" style="57" customWidth="1"/>
    <col min="8198" max="8198" width="47.28515625" style="57" customWidth="1"/>
    <col min="8199" max="8202" width="12.28515625" style="57" customWidth="1"/>
    <col min="8203" max="8203" width="48.5703125" style="57" customWidth="1"/>
    <col min="8204" max="8206" width="12.28515625" style="57" bestFit="1" customWidth="1"/>
    <col min="8207" max="8446" width="9.140625" style="57"/>
    <col min="8447" max="8447" width="8.140625" style="57" customWidth="1"/>
    <col min="8448" max="8448" width="46.5703125" style="57" customWidth="1"/>
    <col min="8449" max="8452" width="12.28515625" style="57" customWidth="1"/>
    <col min="8453" max="8453" width="8.140625" style="57" customWidth="1"/>
    <col min="8454" max="8454" width="47.28515625" style="57" customWidth="1"/>
    <col min="8455" max="8458" width="12.28515625" style="57" customWidth="1"/>
    <col min="8459" max="8459" width="48.5703125" style="57" customWidth="1"/>
    <col min="8460" max="8462" width="12.28515625" style="57" bestFit="1" customWidth="1"/>
    <col min="8463" max="8702" width="9.140625" style="57"/>
    <col min="8703" max="8703" width="8.140625" style="57" customWidth="1"/>
    <col min="8704" max="8704" width="46.5703125" style="57" customWidth="1"/>
    <col min="8705" max="8708" width="12.28515625" style="57" customWidth="1"/>
    <col min="8709" max="8709" width="8.140625" style="57" customWidth="1"/>
    <col min="8710" max="8710" width="47.28515625" style="57" customWidth="1"/>
    <col min="8711" max="8714" width="12.28515625" style="57" customWidth="1"/>
    <col min="8715" max="8715" width="48.5703125" style="57" customWidth="1"/>
    <col min="8716" max="8718" width="12.28515625" style="57" bestFit="1" customWidth="1"/>
    <col min="8719" max="8958" width="9.140625" style="57"/>
    <col min="8959" max="8959" width="8.140625" style="57" customWidth="1"/>
    <col min="8960" max="8960" width="46.5703125" style="57" customWidth="1"/>
    <col min="8961" max="8964" width="12.28515625" style="57" customWidth="1"/>
    <col min="8965" max="8965" width="8.140625" style="57" customWidth="1"/>
    <col min="8966" max="8966" width="47.28515625" style="57" customWidth="1"/>
    <col min="8967" max="8970" width="12.28515625" style="57" customWidth="1"/>
    <col min="8971" max="8971" width="48.5703125" style="57" customWidth="1"/>
    <col min="8972" max="8974" width="12.28515625" style="57" bestFit="1" customWidth="1"/>
    <col min="8975" max="9214" width="9.140625" style="57"/>
    <col min="9215" max="9215" width="8.140625" style="57" customWidth="1"/>
    <col min="9216" max="9216" width="46.5703125" style="57" customWidth="1"/>
    <col min="9217" max="9220" width="12.28515625" style="57" customWidth="1"/>
    <col min="9221" max="9221" width="8.140625" style="57" customWidth="1"/>
    <col min="9222" max="9222" width="47.28515625" style="57" customWidth="1"/>
    <col min="9223" max="9226" width="12.28515625" style="57" customWidth="1"/>
    <col min="9227" max="9227" width="48.5703125" style="57" customWidth="1"/>
    <col min="9228" max="9230" width="12.28515625" style="57" bestFit="1" customWidth="1"/>
    <col min="9231" max="9470" width="9.140625" style="57"/>
    <col min="9471" max="9471" width="8.140625" style="57" customWidth="1"/>
    <col min="9472" max="9472" width="46.5703125" style="57" customWidth="1"/>
    <col min="9473" max="9476" width="12.28515625" style="57" customWidth="1"/>
    <col min="9477" max="9477" width="8.140625" style="57" customWidth="1"/>
    <col min="9478" max="9478" width="47.28515625" style="57" customWidth="1"/>
    <col min="9479" max="9482" width="12.28515625" style="57" customWidth="1"/>
    <col min="9483" max="9483" width="48.5703125" style="57" customWidth="1"/>
    <col min="9484" max="9486" width="12.28515625" style="57" bestFit="1" customWidth="1"/>
    <col min="9487" max="9726" width="9.140625" style="57"/>
    <col min="9727" max="9727" width="8.140625" style="57" customWidth="1"/>
    <col min="9728" max="9728" width="46.5703125" style="57" customWidth="1"/>
    <col min="9729" max="9732" width="12.28515625" style="57" customWidth="1"/>
    <col min="9733" max="9733" width="8.140625" style="57" customWidth="1"/>
    <col min="9734" max="9734" width="47.28515625" style="57" customWidth="1"/>
    <col min="9735" max="9738" width="12.28515625" style="57" customWidth="1"/>
    <col min="9739" max="9739" width="48.5703125" style="57" customWidth="1"/>
    <col min="9740" max="9742" width="12.28515625" style="57" bestFit="1" customWidth="1"/>
    <col min="9743" max="9982" width="9.140625" style="57"/>
    <col min="9983" max="9983" width="8.140625" style="57" customWidth="1"/>
    <col min="9984" max="9984" width="46.5703125" style="57" customWidth="1"/>
    <col min="9985" max="9988" width="12.28515625" style="57" customWidth="1"/>
    <col min="9989" max="9989" width="8.140625" style="57" customWidth="1"/>
    <col min="9990" max="9990" width="47.28515625" style="57" customWidth="1"/>
    <col min="9991" max="9994" width="12.28515625" style="57" customWidth="1"/>
    <col min="9995" max="9995" width="48.5703125" style="57" customWidth="1"/>
    <col min="9996" max="9998" width="12.28515625" style="57" bestFit="1" customWidth="1"/>
    <col min="9999" max="10238" width="9.140625" style="57"/>
    <col min="10239" max="10239" width="8.140625" style="57" customWidth="1"/>
    <col min="10240" max="10240" width="46.5703125" style="57" customWidth="1"/>
    <col min="10241" max="10244" width="12.28515625" style="57" customWidth="1"/>
    <col min="10245" max="10245" width="8.140625" style="57" customWidth="1"/>
    <col min="10246" max="10246" width="47.28515625" style="57" customWidth="1"/>
    <col min="10247" max="10250" width="12.28515625" style="57" customWidth="1"/>
    <col min="10251" max="10251" width="48.5703125" style="57" customWidth="1"/>
    <col min="10252" max="10254" width="12.28515625" style="57" bestFit="1" customWidth="1"/>
    <col min="10255" max="10494" width="9.140625" style="57"/>
    <col min="10495" max="10495" width="8.140625" style="57" customWidth="1"/>
    <col min="10496" max="10496" width="46.5703125" style="57" customWidth="1"/>
    <col min="10497" max="10500" width="12.28515625" style="57" customWidth="1"/>
    <col min="10501" max="10501" width="8.140625" style="57" customWidth="1"/>
    <col min="10502" max="10502" width="47.28515625" style="57" customWidth="1"/>
    <col min="10503" max="10506" width="12.28515625" style="57" customWidth="1"/>
    <col min="10507" max="10507" width="48.5703125" style="57" customWidth="1"/>
    <col min="10508" max="10510" width="12.28515625" style="57" bestFit="1" customWidth="1"/>
    <col min="10511" max="10750" width="9.140625" style="57"/>
    <col min="10751" max="10751" width="8.140625" style="57" customWidth="1"/>
    <col min="10752" max="10752" width="46.5703125" style="57" customWidth="1"/>
    <col min="10753" max="10756" width="12.28515625" style="57" customWidth="1"/>
    <col min="10757" max="10757" width="8.140625" style="57" customWidth="1"/>
    <col min="10758" max="10758" width="47.28515625" style="57" customWidth="1"/>
    <col min="10759" max="10762" width="12.28515625" style="57" customWidth="1"/>
    <col min="10763" max="10763" width="48.5703125" style="57" customWidth="1"/>
    <col min="10764" max="10766" width="12.28515625" style="57" bestFit="1" customWidth="1"/>
    <col min="10767" max="11006" width="9.140625" style="57"/>
    <col min="11007" max="11007" width="8.140625" style="57" customWidth="1"/>
    <col min="11008" max="11008" width="46.5703125" style="57" customWidth="1"/>
    <col min="11009" max="11012" width="12.28515625" style="57" customWidth="1"/>
    <col min="11013" max="11013" width="8.140625" style="57" customWidth="1"/>
    <col min="11014" max="11014" width="47.28515625" style="57" customWidth="1"/>
    <col min="11015" max="11018" width="12.28515625" style="57" customWidth="1"/>
    <col min="11019" max="11019" width="48.5703125" style="57" customWidth="1"/>
    <col min="11020" max="11022" width="12.28515625" style="57" bestFit="1" customWidth="1"/>
    <col min="11023" max="11262" width="9.140625" style="57"/>
    <col min="11263" max="11263" width="8.140625" style="57" customWidth="1"/>
    <col min="11264" max="11264" width="46.5703125" style="57" customWidth="1"/>
    <col min="11265" max="11268" width="12.28515625" style="57" customWidth="1"/>
    <col min="11269" max="11269" width="8.140625" style="57" customWidth="1"/>
    <col min="11270" max="11270" width="47.28515625" style="57" customWidth="1"/>
    <col min="11271" max="11274" width="12.28515625" style="57" customWidth="1"/>
    <col min="11275" max="11275" width="48.5703125" style="57" customWidth="1"/>
    <col min="11276" max="11278" width="12.28515625" style="57" bestFit="1" customWidth="1"/>
    <col min="11279" max="11518" width="9.140625" style="57"/>
    <col min="11519" max="11519" width="8.140625" style="57" customWidth="1"/>
    <col min="11520" max="11520" width="46.5703125" style="57" customWidth="1"/>
    <col min="11521" max="11524" width="12.28515625" style="57" customWidth="1"/>
    <col min="11525" max="11525" width="8.140625" style="57" customWidth="1"/>
    <col min="11526" max="11526" width="47.28515625" style="57" customWidth="1"/>
    <col min="11527" max="11530" width="12.28515625" style="57" customWidth="1"/>
    <col min="11531" max="11531" width="48.5703125" style="57" customWidth="1"/>
    <col min="11532" max="11534" width="12.28515625" style="57" bestFit="1" customWidth="1"/>
    <col min="11535" max="11774" width="9.140625" style="57"/>
    <col min="11775" max="11775" width="8.140625" style="57" customWidth="1"/>
    <col min="11776" max="11776" width="46.5703125" style="57" customWidth="1"/>
    <col min="11777" max="11780" width="12.28515625" style="57" customWidth="1"/>
    <col min="11781" max="11781" width="8.140625" style="57" customWidth="1"/>
    <col min="11782" max="11782" width="47.28515625" style="57" customWidth="1"/>
    <col min="11783" max="11786" width="12.28515625" style="57" customWidth="1"/>
    <col min="11787" max="11787" width="48.5703125" style="57" customWidth="1"/>
    <col min="11788" max="11790" width="12.28515625" style="57" bestFit="1" customWidth="1"/>
    <col min="11791" max="12030" width="9.140625" style="57"/>
    <col min="12031" max="12031" width="8.140625" style="57" customWidth="1"/>
    <col min="12032" max="12032" width="46.5703125" style="57" customWidth="1"/>
    <col min="12033" max="12036" width="12.28515625" style="57" customWidth="1"/>
    <col min="12037" max="12037" width="8.140625" style="57" customWidth="1"/>
    <col min="12038" max="12038" width="47.28515625" style="57" customWidth="1"/>
    <col min="12039" max="12042" width="12.28515625" style="57" customWidth="1"/>
    <col min="12043" max="12043" width="48.5703125" style="57" customWidth="1"/>
    <col min="12044" max="12046" width="12.28515625" style="57" bestFit="1" customWidth="1"/>
    <col min="12047" max="12286" width="9.140625" style="57"/>
    <col min="12287" max="12287" width="8.140625" style="57" customWidth="1"/>
    <col min="12288" max="12288" width="46.5703125" style="57" customWidth="1"/>
    <col min="12289" max="12292" width="12.28515625" style="57" customWidth="1"/>
    <col min="12293" max="12293" width="8.140625" style="57" customWidth="1"/>
    <col min="12294" max="12294" width="47.28515625" style="57" customWidth="1"/>
    <col min="12295" max="12298" width="12.28515625" style="57" customWidth="1"/>
    <col min="12299" max="12299" width="48.5703125" style="57" customWidth="1"/>
    <col min="12300" max="12302" width="12.28515625" style="57" bestFit="1" customWidth="1"/>
    <col min="12303" max="12542" width="9.140625" style="57"/>
    <col min="12543" max="12543" width="8.140625" style="57" customWidth="1"/>
    <col min="12544" max="12544" width="46.5703125" style="57" customWidth="1"/>
    <col min="12545" max="12548" width="12.28515625" style="57" customWidth="1"/>
    <col min="12549" max="12549" width="8.140625" style="57" customWidth="1"/>
    <col min="12550" max="12550" width="47.28515625" style="57" customWidth="1"/>
    <col min="12551" max="12554" width="12.28515625" style="57" customWidth="1"/>
    <col min="12555" max="12555" width="48.5703125" style="57" customWidth="1"/>
    <col min="12556" max="12558" width="12.28515625" style="57" bestFit="1" customWidth="1"/>
    <col min="12559" max="12798" width="9.140625" style="57"/>
    <col min="12799" max="12799" width="8.140625" style="57" customWidth="1"/>
    <col min="12800" max="12800" width="46.5703125" style="57" customWidth="1"/>
    <col min="12801" max="12804" width="12.28515625" style="57" customWidth="1"/>
    <col min="12805" max="12805" width="8.140625" style="57" customWidth="1"/>
    <col min="12806" max="12806" width="47.28515625" style="57" customWidth="1"/>
    <col min="12807" max="12810" width="12.28515625" style="57" customWidth="1"/>
    <col min="12811" max="12811" width="48.5703125" style="57" customWidth="1"/>
    <col min="12812" max="12814" width="12.28515625" style="57" bestFit="1" customWidth="1"/>
    <col min="12815" max="13054" width="9.140625" style="57"/>
    <col min="13055" max="13055" width="8.140625" style="57" customWidth="1"/>
    <col min="13056" max="13056" width="46.5703125" style="57" customWidth="1"/>
    <col min="13057" max="13060" width="12.28515625" style="57" customWidth="1"/>
    <col min="13061" max="13061" width="8.140625" style="57" customWidth="1"/>
    <col min="13062" max="13062" width="47.28515625" style="57" customWidth="1"/>
    <col min="13063" max="13066" width="12.28515625" style="57" customWidth="1"/>
    <col min="13067" max="13067" width="48.5703125" style="57" customWidth="1"/>
    <col min="13068" max="13070" width="12.28515625" style="57" bestFit="1" customWidth="1"/>
    <col min="13071" max="13310" width="9.140625" style="57"/>
    <col min="13311" max="13311" width="8.140625" style="57" customWidth="1"/>
    <col min="13312" max="13312" width="46.5703125" style="57" customWidth="1"/>
    <col min="13313" max="13316" width="12.28515625" style="57" customWidth="1"/>
    <col min="13317" max="13317" width="8.140625" style="57" customWidth="1"/>
    <col min="13318" max="13318" width="47.28515625" style="57" customWidth="1"/>
    <col min="13319" max="13322" width="12.28515625" style="57" customWidth="1"/>
    <col min="13323" max="13323" width="48.5703125" style="57" customWidth="1"/>
    <col min="13324" max="13326" width="12.28515625" style="57" bestFit="1" customWidth="1"/>
    <col min="13327" max="13566" width="9.140625" style="57"/>
    <col min="13567" max="13567" width="8.140625" style="57" customWidth="1"/>
    <col min="13568" max="13568" width="46.5703125" style="57" customWidth="1"/>
    <col min="13569" max="13572" width="12.28515625" style="57" customWidth="1"/>
    <col min="13573" max="13573" width="8.140625" style="57" customWidth="1"/>
    <col min="13574" max="13574" width="47.28515625" style="57" customWidth="1"/>
    <col min="13575" max="13578" width="12.28515625" style="57" customWidth="1"/>
    <col min="13579" max="13579" width="48.5703125" style="57" customWidth="1"/>
    <col min="13580" max="13582" width="12.28515625" style="57" bestFit="1" customWidth="1"/>
    <col min="13583" max="13822" width="9.140625" style="57"/>
    <col min="13823" max="13823" width="8.140625" style="57" customWidth="1"/>
    <col min="13824" max="13824" width="46.5703125" style="57" customWidth="1"/>
    <col min="13825" max="13828" width="12.28515625" style="57" customWidth="1"/>
    <col min="13829" max="13829" width="8.140625" style="57" customWidth="1"/>
    <col min="13830" max="13830" width="47.28515625" style="57" customWidth="1"/>
    <col min="13831" max="13834" width="12.28515625" style="57" customWidth="1"/>
    <col min="13835" max="13835" width="48.5703125" style="57" customWidth="1"/>
    <col min="13836" max="13838" width="12.28515625" style="57" bestFit="1" customWidth="1"/>
    <col min="13839" max="14078" width="9.140625" style="57"/>
    <col min="14079" max="14079" width="8.140625" style="57" customWidth="1"/>
    <col min="14080" max="14080" width="46.5703125" style="57" customWidth="1"/>
    <col min="14081" max="14084" width="12.28515625" style="57" customWidth="1"/>
    <col min="14085" max="14085" width="8.140625" style="57" customWidth="1"/>
    <col min="14086" max="14086" width="47.28515625" style="57" customWidth="1"/>
    <col min="14087" max="14090" width="12.28515625" style="57" customWidth="1"/>
    <col min="14091" max="14091" width="48.5703125" style="57" customWidth="1"/>
    <col min="14092" max="14094" width="12.28515625" style="57" bestFit="1" customWidth="1"/>
    <col min="14095" max="14334" width="9.140625" style="57"/>
    <col min="14335" max="14335" width="8.140625" style="57" customWidth="1"/>
    <col min="14336" max="14336" width="46.5703125" style="57" customWidth="1"/>
    <col min="14337" max="14340" width="12.28515625" style="57" customWidth="1"/>
    <col min="14341" max="14341" width="8.140625" style="57" customWidth="1"/>
    <col min="14342" max="14342" width="47.28515625" style="57" customWidth="1"/>
    <col min="14343" max="14346" width="12.28515625" style="57" customWidth="1"/>
    <col min="14347" max="14347" width="48.5703125" style="57" customWidth="1"/>
    <col min="14348" max="14350" width="12.28515625" style="57" bestFit="1" customWidth="1"/>
    <col min="14351" max="14590" width="9.140625" style="57"/>
    <col min="14591" max="14591" width="8.140625" style="57" customWidth="1"/>
    <col min="14592" max="14592" width="46.5703125" style="57" customWidth="1"/>
    <col min="14593" max="14596" width="12.28515625" style="57" customWidth="1"/>
    <col min="14597" max="14597" width="8.140625" style="57" customWidth="1"/>
    <col min="14598" max="14598" width="47.28515625" style="57" customWidth="1"/>
    <col min="14599" max="14602" width="12.28515625" style="57" customWidth="1"/>
    <col min="14603" max="14603" width="48.5703125" style="57" customWidth="1"/>
    <col min="14604" max="14606" width="12.28515625" style="57" bestFit="1" customWidth="1"/>
    <col min="14607" max="14846" width="9.140625" style="57"/>
    <col min="14847" max="14847" width="8.140625" style="57" customWidth="1"/>
    <col min="14848" max="14848" width="46.5703125" style="57" customWidth="1"/>
    <col min="14849" max="14852" width="12.28515625" style="57" customWidth="1"/>
    <col min="14853" max="14853" width="8.140625" style="57" customWidth="1"/>
    <col min="14854" max="14854" width="47.28515625" style="57" customWidth="1"/>
    <col min="14855" max="14858" width="12.28515625" style="57" customWidth="1"/>
    <col min="14859" max="14859" width="48.5703125" style="57" customWidth="1"/>
    <col min="14860" max="14862" width="12.28515625" style="57" bestFit="1" customWidth="1"/>
    <col min="14863" max="15102" width="9.140625" style="57"/>
    <col min="15103" max="15103" width="8.140625" style="57" customWidth="1"/>
    <col min="15104" max="15104" width="46.5703125" style="57" customWidth="1"/>
    <col min="15105" max="15108" width="12.28515625" style="57" customWidth="1"/>
    <col min="15109" max="15109" width="8.140625" style="57" customWidth="1"/>
    <col min="15110" max="15110" width="47.28515625" style="57" customWidth="1"/>
    <col min="15111" max="15114" width="12.28515625" style="57" customWidth="1"/>
    <col min="15115" max="15115" width="48.5703125" style="57" customWidth="1"/>
    <col min="15116" max="15118" width="12.28515625" style="57" bestFit="1" customWidth="1"/>
    <col min="15119" max="15358" width="9.140625" style="57"/>
    <col min="15359" max="15359" width="8.140625" style="57" customWidth="1"/>
    <col min="15360" max="15360" width="46.5703125" style="57" customWidth="1"/>
    <col min="15361" max="15364" width="12.28515625" style="57" customWidth="1"/>
    <col min="15365" max="15365" width="8.140625" style="57" customWidth="1"/>
    <col min="15366" max="15366" width="47.28515625" style="57" customWidth="1"/>
    <col min="15367" max="15370" width="12.28515625" style="57" customWidth="1"/>
    <col min="15371" max="15371" width="48.5703125" style="57" customWidth="1"/>
    <col min="15372" max="15374" width="12.28515625" style="57" bestFit="1" customWidth="1"/>
    <col min="15375" max="15614" width="9.140625" style="57"/>
    <col min="15615" max="15615" width="8.140625" style="57" customWidth="1"/>
    <col min="15616" max="15616" width="46.5703125" style="57" customWidth="1"/>
    <col min="15617" max="15620" width="12.28515625" style="57" customWidth="1"/>
    <col min="15621" max="15621" width="8.140625" style="57" customWidth="1"/>
    <col min="15622" max="15622" width="47.28515625" style="57" customWidth="1"/>
    <col min="15623" max="15626" width="12.28515625" style="57" customWidth="1"/>
    <col min="15627" max="15627" width="48.5703125" style="57" customWidth="1"/>
    <col min="15628" max="15630" width="12.28515625" style="57" bestFit="1" customWidth="1"/>
    <col min="15631" max="15870" width="9.140625" style="57"/>
    <col min="15871" max="15871" width="8.140625" style="57" customWidth="1"/>
    <col min="15872" max="15872" width="46.5703125" style="57" customWidth="1"/>
    <col min="15873" max="15876" width="12.28515625" style="57" customWidth="1"/>
    <col min="15877" max="15877" width="8.140625" style="57" customWidth="1"/>
    <col min="15878" max="15878" width="47.28515625" style="57" customWidth="1"/>
    <col min="15879" max="15882" width="12.28515625" style="57" customWidth="1"/>
    <col min="15883" max="15883" width="48.5703125" style="57" customWidth="1"/>
    <col min="15884" max="15886" width="12.28515625" style="57" bestFit="1" customWidth="1"/>
    <col min="15887" max="16126" width="9.140625" style="57"/>
    <col min="16127" max="16127" width="8.140625" style="57" customWidth="1"/>
    <col min="16128" max="16128" width="46.5703125" style="57" customWidth="1"/>
    <col min="16129" max="16132" width="12.28515625" style="57" customWidth="1"/>
    <col min="16133" max="16133" width="8.140625" style="57" customWidth="1"/>
    <col min="16134" max="16134" width="47.28515625" style="57" customWidth="1"/>
    <col min="16135" max="16138" width="12.28515625" style="57" customWidth="1"/>
    <col min="16139" max="16139" width="48.5703125" style="57" customWidth="1"/>
    <col min="16140" max="16142" width="12.28515625" style="57" bestFit="1" customWidth="1"/>
    <col min="16143" max="16384" width="9.140625" style="57"/>
  </cols>
  <sheetData>
    <row r="1" spans="1:15" ht="89.25" customHeight="1" x14ac:dyDescent="0.25">
      <c r="A1" s="56"/>
      <c r="B1" s="56"/>
      <c r="C1" s="56"/>
      <c r="D1" s="56"/>
      <c r="E1" s="56"/>
      <c r="F1" s="56"/>
      <c r="G1" s="221" t="s">
        <v>1135</v>
      </c>
      <c r="H1" s="221"/>
      <c r="I1" s="221"/>
      <c r="J1" s="221"/>
      <c r="K1" s="221"/>
      <c r="L1" s="221"/>
      <c r="M1" s="221"/>
      <c r="N1" s="221"/>
      <c r="O1" s="221"/>
    </row>
    <row r="2" spans="1:15" ht="39" customHeight="1" x14ac:dyDescent="0.25">
      <c r="A2" s="56"/>
      <c r="B2" s="56"/>
      <c r="C2" s="56"/>
      <c r="D2" s="56"/>
      <c r="E2" s="56"/>
      <c r="F2" s="56"/>
      <c r="G2" s="222" t="s">
        <v>998</v>
      </c>
      <c r="H2" s="222"/>
      <c r="I2" s="222"/>
      <c r="J2" s="222"/>
      <c r="K2" s="222"/>
      <c r="L2" s="222"/>
      <c r="M2" s="222"/>
      <c r="N2" s="222"/>
      <c r="O2" s="222"/>
    </row>
    <row r="3" spans="1:15" ht="20.25" customHeight="1" x14ac:dyDescent="0.25">
      <c r="A3" s="56"/>
      <c r="B3" s="56"/>
      <c r="C3" s="56"/>
      <c r="D3" s="56"/>
      <c r="E3" s="56"/>
      <c r="F3" s="56"/>
      <c r="G3" s="223" t="s">
        <v>1136</v>
      </c>
      <c r="H3" s="223"/>
      <c r="I3" s="223"/>
      <c r="J3" s="223"/>
      <c r="K3" s="223"/>
      <c r="L3" s="223"/>
      <c r="M3" s="223"/>
      <c r="N3" s="223"/>
      <c r="O3" s="223"/>
    </row>
    <row r="4" spans="1:15" ht="24.75" customHeight="1" x14ac:dyDescent="0.25">
      <c r="A4" s="59"/>
      <c r="B4" s="59"/>
      <c r="C4" s="59"/>
      <c r="D4" s="59"/>
      <c r="E4" s="59"/>
      <c r="F4" s="59"/>
      <c r="I4" s="57"/>
      <c r="J4" s="224" t="s">
        <v>49</v>
      </c>
      <c r="K4" s="224"/>
      <c r="L4" s="224"/>
      <c r="M4" s="224" t="s">
        <v>763</v>
      </c>
      <c r="N4" s="224"/>
      <c r="O4" s="224"/>
    </row>
    <row r="5" spans="1:15" ht="25.5" customHeight="1" x14ac:dyDescent="0.25">
      <c r="A5" s="216" t="s">
        <v>0</v>
      </c>
      <c r="B5" s="216" t="s">
        <v>1</v>
      </c>
      <c r="C5" s="216" t="s">
        <v>2</v>
      </c>
      <c r="D5" s="216"/>
      <c r="E5" s="216"/>
      <c r="F5" s="216"/>
      <c r="G5" s="216" t="s">
        <v>0</v>
      </c>
      <c r="H5" s="216" t="s">
        <v>1</v>
      </c>
      <c r="I5" s="216" t="s">
        <v>882</v>
      </c>
      <c r="J5" s="216"/>
      <c r="K5" s="216"/>
      <c r="L5" s="216"/>
      <c r="M5" s="216" t="s">
        <v>942</v>
      </c>
      <c r="N5" s="216"/>
      <c r="O5" s="216"/>
    </row>
    <row r="6" spans="1:15" ht="25.5" hidden="1" customHeight="1" x14ac:dyDescent="0.25">
      <c r="A6" s="216"/>
      <c r="B6" s="216"/>
      <c r="C6" s="60"/>
      <c r="D6" s="60"/>
      <c r="E6" s="60"/>
      <c r="F6" s="60"/>
      <c r="G6" s="216"/>
      <c r="H6" s="216"/>
      <c r="I6" s="60"/>
      <c r="J6" s="60"/>
      <c r="K6" s="60"/>
      <c r="L6" s="60"/>
      <c r="M6" s="60">
        <v>0.7</v>
      </c>
      <c r="N6" s="60">
        <v>0.7</v>
      </c>
      <c r="O6" s="60">
        <v>0.7</v>
      </c>
    </row>
    <row r="7" spans="1:15" ht="25.5" customHeight="1" x14ac:dyDescent="0.25">
      <c r="A7" s="216"/>
      <c r="B7" s="216"/>
      <c r="C7" s="60" t="s">
        <v>4</v>
      </c>
      <c r="D7" s="60" t="s">
        <v>3</v>
      </c>
      <c r="E7" s="60" t="s">
        <v>5</v>
      </c>
      <c r="F7" s="60" t="s">
        <v>6</v>
      </c>
      <c r="G7" s="216"/>
      <c r="H7" s="216"/>
      <c r="I7" s="60" t="s">
        <v>4</v>
      </c>
      <c r="J7" s="60" t="s">
        <v>3</v>
      </c>
      <c r="K7" s="60" t="s">
        <v>5</v>
      </c>
      <c r="L7" s="60" t="s">
        <v>6</v>
      </c>
      <c r="M7" s="60" t="s">
        <v>4</v>
      </c>
      <c r="N7" s="60" t="s">
        <v>3</v>
      </c>
      <c r="O7" s="60" t="s">
        <v>5</v>
      </c>
    </row>
    <row r="8" spans="1:15" ht="27.75" customHeight="1" x14ac:dyDescent="0.25">
      <c r="A8" s="61" t="s">
        <v>7</v>
      </c>
      <c r="B8" s="62" t="s">
        <v>790</v>
      </c>
      <c r="C8" s="63"/>
      <c r="D8" s="63"/>
      <c r="E8" s="63"/>
      <c r="F8" s="63"/>
      <c r="G8" s="61" t="s">
        <v>7</v>
      </c>
      <c r="H8" s="62" t="s">
        <v>790</v>
      </c>
      <c r="I8" s="64"/>
      <c r="J8" s="64"/>
      <c r="K8" s="64"/>
      <c r="L8" s="64"/>
      <c r="M8" s="64"/>
      <c r="N8" s="64"/>
      <c r="O8" s="64"/>
    </row>
    <row r="9" spans="1:15" ht="27.75" customHeight="1" x14ac:dyDescent="0.25">
      <c r="A9" s="65">
        <v>1</v>
      </c>
      <c r="B9" s="66" t="s">
        <v>791</v>
      </c>
      <c r="C9" s="63"/>
      <c r="D9" s="63"/>
      <c r="E9" s="63"/>
      <c r="F9" s="63"/>
      <c r="G9" s="65">
        <v>1</v>
      </c>
      <c r="H9" s="66" t="s">
        <v>791</v>
      </c>
      <c r="I9" s="67"/>
      <c r="J9" s="67"/>
      <c r="K9" s="64"/>
      <c r="L9" s="64"/>
      <c r="M9" s="67"/>
      <c r="N9" s="67"/>
      <c r="O9" s="64"/>
    </row>
    <row r="10" spans="1:15" ht="34.5" customHeight="1" x14ac:dyDescent="0.25">
      <c r="A10" s="65" t="s">
        <v>8</v>
      </c>
      <c r="B10" s="66" t="s">
        <v>792</v>
      </c>
      <c r="C10" s="63">
        <v>900</v>
      </c>
      <c r="D10" s="63">
        <v>600</v>
      </c>
      <c r="E10" s="63">
        <v>400</v>
      </c>
      <c r="F10" s="63">
        <v>300</v>
      </c>
      <c r="G10" s="65" t="s">
        <v>8</v>
      </c>
      <c r="H10" s="66" t="s">
        <v>792</v>
      </c>
      <c r="I10" s="67">
        <v>1044</v>
      </c>
      <c r="J10" s="67">
        <v>696</v>
      </c>
      <c r="K10" s="67">
        <v>463.99999999999994</v>
      </c>
      <c r="L10" s="67">
        <v>348</v>
      </c>
      <c r="M10" s="67">
        <f>I10*$M$6</f>
        <v>730.8</v>
      </c>
      <c r="N10" s="67">
        <f t="shared" ref="N10:O13" si="0">J10*$M$6</f>
        <v>487.2</v>
      </c>
      <c r="O10" s="67">
        <f t="shared" si="0"/>
        <v>324.79999999999995</v>
      </c>
    </row>
    <row r="11" spans="1:15" ht="34.5" customHeight="1" x14ac:dyDescent="0.25">
      <c r="A11" s="65" t="s">
        <v>9</v>
      </c>
      <c r="B11" s="66" t="s">
        <v>793</v>
      </c>
      <c r="C11" s="63">
        <v>700</v>
      </c>
      <c r="D11" s="63">
        <f>+ROUND(C11*0.7,-2)</f>
        <v>500</v>
      </c>
      <c r="E11" s="63">
        <f>+ROUND(C11*0.4,-2)</f>
        <v>300</v>
      </c>
      <c r="F11" s="63">
        <f>+ROUND(C11*0.3,-2)</f>
        <v>200</v>
      </c>
      <c r="G11" s="65" t="s">
        <v>9</v>
      </c>
      <c r="H11" s="66" t="s">
        <v>793</v>
      </c>
      <c r="I11" s="67">
        <v>812</v>
      </c>
      <c r="J11" s="67">
        <v>580</v>
      </c>
      <c r="K11" s="67">
        <v>348</v>
      </c>
      <c r="L11" s="67">
        <v>231.99999999999997</v>
      </c>
      <c r="M11" s="67">
        <f t="shared" ref="M11:M13" si="1">I11*$M$6</f>
        <v>568.4</v>
      </c>
      <c r="N11" s="67">
        <f t="shared" si="0"/>
        <v>406</v>
      </c>
      <c r="O11" s="67">
        <f t="shared" si="0"/>
        <v>243.6</v>
      </c>
    </row>
    <row r="12" spans="1:15" ht="46.5" customHeight="1" x14ac:dyDescent="0.25">
      <c r="A12" s="65">
        <v>2</v>
      </c>
      <c r="B12" s="62" t="s">
        <v>977</v>
      </c>
      <c r="C12" s="63">
        <v>600</v>
      </c>
      <c r="D12" s="63">
        <f>+ROUND(C12*0.7,-2)</f>
        <v>400</v>
      </c>
      <c r="E12" s="63">
        <f>+ROUND(C12*0.45,-2)</f>
        <v>300</v>
      </c>
      <c r="F12" s="63">
        <f>+ROUND(C12*0.3,-2)</f>
        <v>200</v>
      </c>
      <c r="G12" s="65">
        <v>2</v>
      </c>
      <c r="H12" s="62" t="s">
        <v>977</v>
      </c>
      <c r="I12" s="67">
        <v>696</v>
      </c>
      <c r="J12" s="67">
        <v>463.99999999999994</v>
      </c>
      <c r="K12" s="67">
        <v>348</v>
      </c>
      <c r="L12" s="67">
        <v>231.99999999999997</v>
      </c>
      <c r="M12" s="67">
        <f t="shared" si="1"/>
        <v>487.2</v>
      </c>
      <c r="N12" s="67">
        <f t="shared" si="0"/>
        <v>324.79999999999995</v>
      </c>
      <c r="O12" s="67">
        <f t="shared" si="0"/>
        <v>243.6</v>
      </c>
    </row>
    <row r="13" spans="1:15" ht="45" customHeight="1" x14ac:dyDescent="0.25">
      <c r="A13" s="65">
        <v>3</v>
      </c>
      <c r="B13" s="62" t="s">
        <v>978</v>
      </c>
      <c r="C13" s="63">
        <v>400</v>
      </c>
      <c r="D13" s="63">
        <f>+ROUND(C13*0.7,-2)</f>
        <v>300</v>
      </c>
      <c r="E13" s="63">
        <f>+ROUND(C13*0.4,-2)</f>
        <v>200</v>
      </c>
      <c r="F13" s="63">
        <f>+ROUND(C13*0.3,-2)</f>
        <v>100</v>
      </c>
      <c r="G13" s="65">
        <v>3</v>
      </c>
      <c r="H13" s="62" t="s">
        <v>978</v>
      </c>
      <c r="I13" s="67">
        <v>463.99999999999994</v>
      </c>
      <c r="J13" s="67">
        <v>348</v>
      </c>
      <c r="K13" s="67">
        <v>231.99999999999997</v>
      </c>
      <c r="L13" s="67">
        <v>115.99999999999999</v>
      </c>
      <c r="M13" s="67">
        <f t="shared" si="1"/>
        <v>324.79999999999995</v>
      </c>
      <c r="N13" s="67">
        <f t="shared" si="0"/>
        <v>243.6</v>
      </c>
      <c r="O13" s="67">
        <f t="shared" si="0"/>
        <v>162.39999999999998</v>
      </c>
    </row>
    <row r="14" spans="1:15" ht="33" customHeight="1" x14ac:dyDescent="0.25">
      <c r="A14" s="65">
        <v>4</v>
      </c>
      <c r="B14" s="62" t="s">
        <v>794</v>
      </c>
      <c r="C14" s="63"/>
      <c r="D14" s="63"/>
      <c r="E14" s="63"/>
      <c r="F14" s="63"/>
      <c r="G14" s="65">
        <v>4</v>
      </c>
      <c r="H14" s="62" t="s">
        <v>794</v>
      </c>
      <c r="I14" s="67"/>
      <c r="J14" s="67"/>
      <c r="K14" s="67"/>
      <c r="L14" s="67"/>
      <c r="M14" s="67"/>
      <c r="N14" s="67"/>
      <c r="O14" s="67"/>
    </row>
    <row r="15" spans="1:15" ht="61.5" customHeight="1" x14ac:dyDescent="0.25">
      <c r="A15" s="65" t="s">
        <v>10</v>
      </c>
      <c r="B15" s="66" t="s">
        <v>795</v>
      </c>
      <c r="C15" s="63">
        <v>5000</v>
      </c>
      <c r="D15" s="63">
        <f>+ROUND(C15*0.5,-2)</f>
        <v>2500</v>
      </c>
      <c r="E15" s="63">
        <f>+ROUND(C15*0.3,-2)</f>
        <v>1500</v>
      </c>
      <c r="F15" s="63">
        <f>+ROUND(C15*0.2,-2)</f>
        <v>1000</v>
      </c>
      <c r="G15" s="65" t="s">
        <v>10</v>
      </c>
      <c r="H15" s="66" t="s">
        <v>795</v>
      </c>
      <c r="I15" s="67">
        <v>5800</v>
      </c>
      <c r="J15" s="67">
        <v>2900</v>
      </c>
      <c r="K15" s="67">
        <v>1739.9999999999998</v>
      </c>
      <c r="L15" s="67">
        <v>1160</v>
      </c>
      <c r="M15" s="67">
        <f t="shared" ref="M15:O19" si="2">I15*$M$6</f>
        <v>4059.9999999999995</v>
      </c>
      <c r="N15" s="67">
        <f t="shared" si="2"/>
        <v>2029.9999999999998</v>
      </c>
      <c r="O15" s="67">
        <f t="shared" si="2"/>
        <v>1217.9999999999998</v>
      </c>
    </row>
    <row r="16" spans="1:15" ht="63.6" customHeight="1" x14ac:dyDescent="0.25">
      <c r="A16" s="65" t="s">
        <v>11</v>
      </c>
      <c r="B16" s="66" t="s">
        <v>796</v>
      </c>
      <c r="C16" s="63">
        <v>3000</v>
      </c>
      <c r="D16" s="63">
        <f>+ROUND(C16*0.5,-2)</f>
        <v>1500</v>
      </c>
      <c r="E16" s="63">
        <f>+ROUND(C16*0.3,-2)</f>
        <v>900</v>
      </c>
      <c r="F16" s="63">
        <f>+ROUND(C16*0.2,-2)</f>
        <v>600</v>
      </c>
      <c r="G16" s="65" t="s">
        <v>11</v>
      </c>
      <c r="H16" s="66" t="s">
        <v>796</v>
      </c>
      <c r="I16" s="67">
        <v>3320</v>
      </c>
      <c r="J16" s="67">
        <v>1650.0000000000002</v>
      </c>
      <c r="K16" s="67">
        <v>990.00000000000011</v>
      </c>
      <c r="L16" s="67">
        <v>660</v>
      </c>
      <c r="M16" s="67">
        <f t="shared" si="2"/>
        <v>2324</v>
      </c>
      <c r="N16" s="67">
        <f t="shared" si="2"/>
        <v>1155</v>
      </c>
      <c r="O16" s="67">
        <f t="shared" si="2"/>
        <v>693</v>
      </c>
    </row>
    <row r="17" spans="1:15" ht="47.25" customHeight="1" x14ac:dyDescent="0.25">
      <c r="A17" s="61">
        <v>5</v>
      </c>
      <c r="B17" s="62" t="s">
        <v>12</v>
      </c>
      <c r="C17" s="63">
        <v>2800</v>
      </c>
      <c r="D17" s="63">
        <f>+ROUND(C17*0.5,-2)</f>
        <v>1400</v>
      </c>
      <c r="E17" s="63">
        <f>+ROUND(C17*0.3,-2)</f>
        <v>800</v>
      </c>
      <c r="F17" s="63">
        <f>+ROUND(C17*0.2,-2)</f>
        <v>600</v>
      </c>
      <c r="G17" s="65">
        <v>5</v>
      </c>
      <c r="H17" s="62" t="s">
        <v>12</v>
      </c>
      <c r="I17" s="67">
        <v>3248</v>
      </c>
      <c r="J17" s="67">
        <v>1624</v>
      </c>
      <c r="K17" s="67">
        <v>927.99999999999989</v>
      </c>
      <c r="L17" s="67">
        <v>696</v>
      </c>
      <c r="M17" s="67">
        <f t="shared" si="2"/>
        <v>2273.6</v>
      </c>
      <c r="N17" s="67">
        <f t="shared" si="2"/>
        <v>1136.8</v>
      </c>
      <c r="O17" s="67">
        <f t="shared" si="2"/>
        <v>649.59999999999991</v>
      </c>
    </row>
    <row r="18" spans="1:15" ht="55.15" customHeight="1" x14ac:dyDescent="0.25">
      <c r="A18" s="61">
        <v>6</v>
      </c>
      <c r="B18" s="62" t="s">
        <v>797</v>
      </c>
      <c r="C18" s="63">
        <v>2800</v>
      </c>
      <c r="D18" s="63">
        <f>+ROUND(C18*0.5,-2)</f>
        <v>1400</v>
      </c>
      <c r="E18" s="63">
        <f>+ROUND(C18*0.3,-2)</f>
        <v>800</v>
      </c>
      <c r="F18" s="63">
        <f>+ROUND(C18*0.2,-2)</f>
        <v>600</v>
      </c>
      <c r="G18" s="65">
        <v>6</v>
      </c>
      <c r="H18" s="62" t="s">
        <v>797</v>
      </c>
      <c r="I18" s="67">
        <v>3248</v>
      </c>
      <c r="J18" s="67">
        <v>1624</v>
      </c>
      <c r="K18" s="67">
        <v>927.99999999999989</v>
      </c>
      <c r="L18" s="67">
        <v>696</v>
      </c>
      <c r="M18" s="67">
        <f t="shared" si="2"/>
        <v>2273.6</v>
      </c>
      <c r="N18" s="67">
        <f t="shared" si="2"/>
        <v>1136.8</v>
      </c>
      <c r="O18" s="67">
        <f t="shared" si="2"/>
        <v>649.59999999999991</v>
      </c>
    </row>
    <row r="19" spans="1:15" ht="40.15" customHeight="1" x14ac:dyDescent="0.25">
      <c r="A19" s="65">
        <v>7</v>
      </c>
      <c r="B19" s="66" t="s">
        <v>798</v>
      </c>
      <c r="C19" s="63">
        <v>3200</v>
      </c>
      <c r="D19" s="63">
        <f>+ROUND(C19*0.7,-2)</f>
        <v>2200</v>
      </c>
      <c r="E19" s="63">
        <f>+ROUND(C19*0.5,-2)</f>
        <v>1600</v>
      </c>
      <c r="F19" s="63">
        <f>+ROUND(C19*0.3,-2)</f>
        <v>1000</v>
      </c>
      <c r="G19" s="65">
        <v>7</v>
      </c>
      <c r="H19" s="66" t="s">
        <v>798</v>
      </c>
      <c r="I19" s="67">
        <v>3711.9999999999995</v>
      </c>
      <c r="J19" s="67">
        <v>2552</v>
      </c>
      <c r="K19" s="67">
        <v>1855.9999999999998</v>
      </c>
      <c r="L19" s="67">
        <v>1160</v>
      </c>
      <c r="M19" s="67">
        <f t="shared" si="2"/>
        <v>2598.3999999999996</v>
      </c>
      <c r="N19" s="67">
        <f t="shared" si="2"/>
        <v>1786.3999999999999</v>
      </c>
      <c r="O19" s="67">
        <f t="shared" si="2"/>
        <v>1299.1999999999998</v>
      </c>
    </row>
    <row r="20" spans="1:15" ht="25.15" customHeight="1" x14ac:dyDescent="0.25">
      <c r="A20" s="68">
        <v>8</v>
      </c>
      <c r="B20" s="69" t="s">
        <v>799</v>
      </c>
      <c r="C20" s="63"/>
      <c r="D20" s="63"/>
      <c r="E20" s="63"/>
      <c r="F20" s="63"/>
      <c r="G20" s="70">
        <v>8</v>
      </c>
      <c r="H20" s="69" t="s">
        <v>799</v>
      </c>
      <c r="I20" s="67"/>
      <c r="J20" s="67"/>
      <c r="K20" s="67"/>
      <c r="L20" s="67"/>
      <c r="M20" s="67"/>
      <c r="N20" s="67"/>
      <c r="O20" s="67"/>
    </row>
    <row r="21" spans="1:15" ht="64.150000000000006" customHeight="1" x14ac:dyDescent="0.25">
      <c r="A21" s="70" t="s">
        <v>13</v>
      </c>
      <c r="B21" s="71" t="s">
        <v>800</v>
      </c>
      <c r="C21" s="63">
        <v>1000</v>
      </c>
      <c r="D21" s="63">
        <f>+ROUND(C21*0.7,-2)</f>
        <v>700</v>
      </c>
      <c r="E21" s="63">
        <f>+ROUND(C21*0.5,-2)</f>
        <v>500</v>
      </c>
      <c r="F21" s="63">
        <f>+ROUND(C21*0.3,-2)</f>
        <v>300</v>
      </c>
      <c r="G21" s="70" t="s">
        <v>13</v>
      </c>
      <c r="H21" s="71" t="s">
        <v>800</v>
      </c>
      <c r="I21" s="67">
        <v>1180</v>
      </c>
      <c r="J21" s="67">
        <v>826</v>
      </c>
      <c r="K21" s="67">
        <v>590</v>
      </c>
      <c r="L21" s="67">
        <v>351</v>
      </c>
      <c r="M21" s="67">
        <f t="shared" ref="M21:O27" si="3">I21*$M$6</f>
        <v>826</v>
      </c>
      <c r="N21" s="67">
        <f t="shared" si="3"/>
        <v>578.19999999999993</v>
      </c>
      <c r="O21" s="67">
        <f t="shared" si="3"/>
        <v>413</v>
      </c>
    </row>
    <row r="22" spans="1:15" ht="33" x14ac:dyDescent="0.25">
      <c r="A22" s="65" t="s">
        <v>14</v>
      </c>
      <c r="B22" s="66" t="s">
        <v>801</v>
      </c>
      <c r="C22" s="63">
        <v>850</v>
      </c>
      <c r="D22" s="63">
        <f>+ROUND(C22*0.7,-2)</f>
        <v>600</v>
      </c>
      <c r="E22" s="63">
        <f>+ROUND(C22*0.5,-2)</f>
        <v>400</v>
      </c>
      <c r="F22" s="63">
        <f>+ROUND(C22*0.3,-2)</f>
        <v>300</v>
      </c>
      <c r="G22" s="65" t="s">
        <v>15</v>
      </c>
      <c r="H22" s="66" t="s">
        <v>801</v>
      </c>
      <c r="I22" s="67">
        <v>1015</v>
      </c>
      <c r="J22" s="67">
        <v>716.47058823529414</v>
      </c>
      <c r="K22" s="67">
        <v>477.64705882352933</v>
      </c>
      <c r="L22" s="67">
        <v>330</v>
      </c>
      <c r="M22" s="67">
        <f t="shared" si="3"/>
        <v>710.5</v>
      </c>
      <c r="N22" s="67">
        <f t="shared" si="3"/>
        <v>501.52941176470586</v>
      </c>
      <c r="O22" s="67">
        <f t="shared" si="3"/>
        <v>334.35294117647049</v>
      </c>
    </row>
    <row r="23" spans="1:15" ht="40.15" customHeight="1" x14ac:dyDescent="0.25">
      <c r="A23" s="70" t="s">
        <v>16</v>
      </c>
      <c r="B23" s="71" t="s">
        <v>802</v>
      </c>
      <c r="C23" s="63">
        <v>750</v>
      </c>
      <c r="D23" s="63">
        <f>+ROUND(C23*0.7,-2)</f>
        <v>500</v>
      </c>
      <c r="E23" s="63">
        <f>+ROUND(C23*0.5,-2)</f>
        <v>400</v>
      </c>
      <c r="F23" s="63">
        <f>+ROUND(C23*0.3,-2)</f>
        <v>200</v>
      </c>
      <c r="G23" s="70" t="s">
        <v>16</v>
      </c>
      <c r="H23" s="71" t="s">
        <v>802</v>
      </c>
      <c r="I23" s="67">
        <v>869.99999999999989</v>
      </c>
      <c r="J23" s="67">
        <v>580</v>
      </c>
      <c r="K23" s="67">
        <v>463.99999999999994</v>
      </c>
      <c r="L23" s="67">
        <v>231.99999999999997</v>
      </c>
      <c r="M23" s="67">
        <f t="shared" si="3"/>
        <v>608.99999999999989</v>
      </c>
      <c r="N23" s="67">
        <f t="shared" si="3"/>
        <v>406</v>
      </c>
      <c r="O23" s="67">
        <f t="shared" si="3"/>
        <v>324.79999999999995</v>
      </c>
    </row>
    <row r="24" spans="1:15" ht="40.15" customHeight="1" x14ac:dyDescent="0.25">
      <c r="A24" s="61">
        <v>3</v>
      </c>
      <c r="B24" s="66" t="s">
        <v>803</v>
      </c>
      <c r="C24" s="63">
        <v>600</v>
      </c>
      <c r="D24" s="63">
        <f>+ROUND(C24*0.7,-2)</f>
        <v>400</v>
      </c>
      <c r="E24" s="63">
        <f>+ROUND(C24*0.45,-2)</f>
        <v>300</v>
      </c>
      <c r="F24" s="63">
        <f>+ROUND(C24*0.3,-2)</f>
        <v>200</v>
      </c>
      <c r="G24" s="65">
        <v>9</v>
      </c>
      <c r="H24" s="66" t="s">
        <v>803</v>
      </c>
      <c r="I24" s="67">
        <v>696</v>
      </c>
      <c r="J24" s="67">
        <v>463.99999999999994</v>
      </c>
      <c r="K24" s="67">
        <v>348</v>
      </c>
      <c r="L24" s="67">
        <v>231.99999999999997</v>
      </c>
      <c r="M24" s="67">
        <f t="shared" si="3"/>
        <v>487.2</v>
      </c>
      <c r="N24" s="67">
        <f t="shared" si="3"/>
        <v>324.79999999999995</v>
      </c>
      <c r="O24" s="67">
        <f t="shared" si="3"/>
        <v>243.6</v>
      </c>
    </row>
    <row r="25" spans="1:15" ht="25.15" customHeight="1" x14ac:dyDescent="0.25">
      <c r="A25" s="61">
        <v>4</v>
      </c>
      <c r="B25" s="66" t="s">
        <v>804</v>
      </c>
      <c r="C25" s="63">
        <v>400</v>
      </c>
      <c r="D25" s="63">
        <f>+ROUND(C25*0.7,-2)</f>
        <v>300</v>
      </c>
      <c r="E25" s="63">
        <f>+ROUND(C25*0.4,-2)</f>
        <v>200</v>
      </c>
      <c r="F25" s="63">
        <f>+ROUND(C25*0.2,-2)</f>
        <v>100</v>
      </c>
      <c r="G25" s="65">
        <v>10</v>
      </c>
      <c r="H25" s="66" t="s">
        <v>804</v>
      </c>
      <c r="I25" s="67">
        <v>463.99999999999994</v>
      </c>
      <c r="J25" s="67">
        <v>348</v>
      </c>
      <c r="K25" s="67">
        <v>231.99999999999997</v>
      </c>
      <c r="L25" s="67">
        <v>115.99999999999999</v>
      </c>
      <c r="M25" s="67">
        <f t="shared" si="3"/>
        <v>324.79999999999995</v>
      </c>
      <c r="N25" s="67">
        <f t="shared" si="3"/>
        <v>243.6</v>
      </c>
      <c r="O25" s="67">
        <f t="shared" si="3"/>
        <v>162.39999999999998</v>
      </c>
    </row>
    <row r="26" spans="1:15" ht="69.599999999999994" customHeight="1" x14ac:dyDescent="0.25">
      <c r="A26" s="68">
        <v>11</v>
      </c>
      <c r="B26" s="71" t="s">
        <v>805</v>
      </c>
      <c r="C26" s="63">
        <v>1200</v>
      </c>
      <c r="D26" s="63">
        <f>+ROUND(C26*0.5,-2)</f>
        <v>600</v>
      </c>
      <c r="E26" s="63">
        <f>+ROUND(C26*0.3,-2)</f>
        <v>400</v>
      </c>
      <c r="F26" s="63">
        <f>+ROUND(C26*0.2,-2)</f>
        <v>200</v>
      </c>
      <c r="G26" s="70">
        <v>11</v>
      </c>
      <c r="H26" s="71" t="s">
        <v>805</v>
      </c>
      <c r="I26" s="67">
        <v>1392</v>
      </c>
      <c r="J26" s="67">
        <v>696</v>
      </c>
      <c r="K26" s="67">
        <v>463.99999999999994</v>
      </c>
      <c r="L26" s="67">
        <v>231.99999999999997</v>
      </c>
      <c r="M26" s="67">
        <f t="shared" si="3"/>
        <v>974.4</v>
      </c>
      <c r="N26" s="67">
        <f t="shared" si="3"/>
        <v>487.2</v>
      </c>
      <c r="O26" s="67">
        <f t="shared" si="3"/>
        <v>324.79999999999995</v>
      </c>
    </row>
    <row r="27" spans="1:15" ht="60.75" customHeight="1" x14ac:dyDescent="0.25">
      <c r="A27" s="61">
        <v>6</v>
      </c>
      <c r="B27" s="66" t="s">
        <v>12</v>
      </c>
      <c r="C27" s="63">
        <v>2800</v>
      </c>
      <c r="D27" s="63">
        <f>+ROUND(C27*0.5,-2)</f>
        <v>1400</v>
      </c>
      <c r="E27" s="63">
        <f>+ROUND(C27*0.3,-2)</f>
        <v>800</v>
      </c>
      <c r="F27" s="63">
        <f>+ROUND(C27*0.2,-2)</f>
        <v>600</v>
      </c>
      <c r="G27" s="65">
        <v>12</v>
      </c>
      <c r="H27" s="66" t="s">
        <v>12</v>
      </c>
      <c r="I27" s="67">
        <v>3248</v>
      </c>
      <c r="J27" s="67">
        <v>1624</v>
      </c>
      <c r="K27" s="67">
        <v>927.99999999999989</v>
      </c>
      <c r="L27" s="67">
        <v>696</v>
      </c>
      <c r="M27" s="67">
        <f t="shared" si="3"/>
        <v>2273.6</v>
      </c>
      <c r="N27" s="67">
        <f t="shared" si="3"/>
        <v>1136.8</v>
      </c>
      <c r="O27" s="67">
        <f t="shared" si="3"/>
        <v>649.59999999999991</v>
      </c>
    </row>
    <row r="28" spans="1:15" ht="25.15" customHeight="1" x14ac:dyDescent="0.25">
      <c r="A28" s="60" t="s">
        <v>17</v>
      </c>
      <c r="B28" s="62" t="s">
        <v>806</v>
      </c>
      <c r="C28" s="72"/>
      <c r="D28" s="72"/>
      <c r="E28" s="72"/>
      <c r="F28" s="72"/>
      <c r="G28" s="60" t="s">
        <v>17</v>
      </c>
      <c r="H28" s="62" t="s">
        <v>806</v>
      </c>
      <c r="I28" s="67"/>
      <c r="J28" s="67"/>
      <c r="K28" s="67"/>
      <c r="L28" s="67"/>
      <c r="M28" s="67"/>
      <c r="N28" s="67"/>
      <c r="O28" s="67"/>
    </row>
    <row r="29" spans="1:15" ht="58.15" customHeight="1" x14ac:dyDescent="0.25">
      <c r="A29" s="64" t="s">
        <v>18</v>
      </c>
      <c r="B29" s="62" t="s">
        <v>979</v>
      </c>
      <c r="C29" s="73">
        <f>170*1.1</f>
        <v>187.00000000000003</v>
      </c>
      <c r="D29" s="73">
        <f>130*1.1</f>
        <v>143</v>
      </c>
      <c r="E29" s="73">
        <f>100*1.1</f>
        <v>110.00000000000001</v>
      </c>
      <c r="F29" s="74"/>
      <c r="G29" s="65">
        <v>1</v>
      </c>
      <c r="H29" s="62" t="s">
        <v>979</v>
      </c>
      <c r="I29" s="67">
        <v>216.92000000000002</v>
      </c>
      <c r="J29" s="67">
        <v>165.88</v>
      </c>
      <c r="K29" s="67">
        <v>127.60000000000001</v>
      </c>
      <c r="L29" s="67"/>
      <c r="M29" s="67">
        <f>I29*$M$6</f>
        <v>151.84399999999999</v>
      </c>
      <c r="N29" s="67">
        <f>J29*$N$6</f>
        <v>116.11599999999999</v>
      </c>
      <c r="O29" s="67">
        <f>K29*$O$6</f>
        <v>89.320000000000007</v>
      </c>
    </row>
    <row r="30" spans="1:15" ht="61.15" customHeight="1" x14ac:dyDescent="0.25">
      <c r="A30" s="64" t="s">
        <v>19</v>
      </c>
      <c r="B30" s="62" t="s">
        <v>980</v>
      </c>
      <c r="C30" s="73">
        <f>130*1.1</f>
        <v>143</v>
      </c>
      <c r="D30" s="73">
        <f>100*1.1</f>
        <v>110.00000000000001</v>
      </c>
      <c r="E30" s="73">
        <f>85*1.1</f>
        <v>93.500000000000014</v>
      </c>
      <c r="F30" s="74"/>
      <c r="G30" s="65">
        <v>2</v>
      </c>
      <c r="H30" s="62" t="s">
        <v>980</v>
      </c>
      <c r="I30" s="67">
        <v>165.88</v>
      </c>
      <c r="J30" s="67">
        <v>127.60000000000001</v>
      </c>
      <c r="K30" s="67">
        <v>108.46000000000001</v>
      </c>
      <c r="L30" s="67"/>
      <c r="M30" s="67">
        <f t="shared" ref="M30:M35" si="4">I30*$M$6</f>
        <v>116.11599999999999</v>
      </c>
      <c r="N30" s="67">
        <f t="shared" ref="N30:N35" si="5">J30*$N$6</f>
        <v>89.320000000000007</v>
      </c>
      <c r="O30" s="67">
        <f t="shared" ref="O30:O35" si="6">K30*$O$6</f>
        <v>75.921999999999997</v>
      </c>
    </row>
    <row r="31" spans="1:15" ht="80.25" customHeight="1" x14ac:dyDescent="0.25">
      <c r="A31" s="64" t="s">
        <v>20</v>
      </c>
      <c r="B31" s="66" t="s">
        <v>807</v>
      </c>
      <c r="C31" s="73">
        <f>170*1.1</f>
        <v>187.00000000000003</v>
      </c>
      <c r="D31" s="73">
        <f>130*1.1</f>
        <v>143</v>
      </c>
      <c r="E31" s="73">
        <f>100*1.1</f>
        <v>110.00000000000001</v>
      </c>
      <c r="F31" s="74"/>
      <c r="G31" s="65">
        <v>3</v>
      </c>
      <c r="H31" s="66" t="s">
        <v>807</v>
      </c>
      <c r="I31" s="67">
        <v>216.92000000000002</v>
      </c>
      <c r="J31" s="67">
        <v>165.88</v>
      </c>
      <c r="K31" s="67">
        <v>127.60000000000001</v>
      </c>
      <c r="L31" s="67"/>
      <c r="M31" s="67">
        <f t="shared" si="4"/>
        <v>151.84399999999999</v>
      </c>
      <c r="N31" s="67">
        <f t="shared" si="5"/>
        <v>116.11599999999999</v>
      </c>
      <c r="O31" s="67">
        <f t="shared" si="6"/>
        <v>89.320000000000007</v>
      </c>
    </row>
    <row r="32" spans="1:15" ht="33" x14ac:dyDescent="0.25">
      <c r="A32" s="64" t="s">
        <v>21</v>
      </c>
      <c r="B32" s="66" t="s">
        <v>808</v>
      </c>
      <c r="C32" s="73">
        <f>280*1.1</f>
        <v>308</v>
      </c>
      <c r="D32" s="73">
        <f>180*1.1</f>
        <v>198.00000000000003</v>
      </c>
      <c r="E32" s="73">
        <f>140*1.1</f>
        <v>154</v>
      </c>
      <c r="F32" s="74"/>
      <c r="G32" s="65">
        <v>4</v>
      </c>
      <c r="H32" s="66" t="s">
        <v>808</v>
      </c>
      <c r="I32" s="67">
        <v>357.28</v>
      </c>
      <c r="J32" s="67">
        <v>229.68</v>
      </c>
      <c r="K32" s="67">
        <v>178.64</v>
      </c>
      <c r="L32" s="67"/>
      <c r="M32" s="67">
        <f t="shared" si="4"/>
        <v>250.09599999999998</v>
      </c>
      <c r="N32" s="67">
        <f t="shared" si="5"/>
        <v>160.77599999999998</v>
      </c>
      <c r="O32" s="67">
        <f t="shared" si="6"/>
        <v>125.04799999999999</v>
      </c>
    </row>
    <row r="33" spans="1:15" ht="49.5" x14ac:dyDescent="0.25">
      <c r="A33" s="64" t="s">
        <v>22</v>
      </c>
      <c r="B33" s="62" t="s">
        <v>981</v>
      </c>
      <c r="C33" s="73">
        <f>140*1.1</f>
        <v>154</v>
      </c>
      <c r="D33" s="73">
        <f>110*1.1</f>
        <v>121.00000000000001</v>
      </c>
      <c r="E33" s="73">
        <f>85*1.1</f>
        <v>93.500000000000014</v>
      </c>
      <c r="F33" s="74"/>
      <c r="G33" s="65">
        <v>5</v>
      </c>
      <c r="H33" s="62" t="s">
        <v>981</v>
      </c>
      <c r="I33" s="67">
        <v>178.64</v>
      </c>
      <c r="J33" s="67">
        <v>140.36000000000001</v>
      </c>
      <c r="K33" s="67">
        <v>108.46000000000001</v>
      </c>
      <c r="L33" s="67"/>
      <c r="M33" s="67">
        <f t="shared" si="4"/>
        <v>125.04799999999999</v>
      </c>
      <c r="N33" s="67">
        <f t="shared" si="5"/>
        <v>98.25200000000001</v>
      </c>
      <c r="O33" s="67">
        <f t="shared" si="6"/>
        <v>75.921999999999997</v>
      </c>
    </row>
    <row r="34" spans="1:15" ht="49.5" x14ac:dyDescent="0.25">
      <c r="A34" s="64" t="s">
        <v>23</v>
      </c>
      <c r="B34" s="66" t="s">
        <v>809</v>
      </c>
      <c r="C34" s="73">
        <f>140*1.1</f>
        <v>154</v>
      </c>
      <c r="D34" s="73">
        <f>110*1.1</f>
        <v>121.00000000000001</v>
      </c>
      <c r="E34" s="73">
        <f>85*1.1</f>
        <v>93.500000000000014</v>
      </c>
      <c r="F34" s="74"/>
      <c r="G34" s="65">
        <v>6</v>
      </c>
      <c r="H34" s="66" t="s">
        <v>809</v>
      </c>
      <c r="I34" s="67">
        <v>178.64</v>
      </c>
      <c r="J34" s="67">
        <v>140.36000000000001</v>
      </c>
      <c r="K34" s="67">
        <v>108.46000000000001</v>
      </c>
      <c r="L34" s="67"/>
      <c r="M34" s="67">
        <f t="shared" si="4"/>
        <v>125.04799999999999</v>
      </c>
      <c r="N34" s="67">
        <f t="shared" si="5"/>
        <v>98.25200000000001</v>
      </c>
      <c r="O34" s="67">
        <f t="shared" si="6"/>
        <v>75.921999999999997</v>
      </c>
    </row>
    <row r="35" spans="1:15" ht="33" x14ac:dyDescent="0.25">
      <c r="A35" s="64" t="s">
        <v>24</v>
      </c>
      <c r="B35" s="66" t="s">
        <v>25</v>
      </c>
      <c r="C35" s="73">
        <f>100*1.1</f>
        <v>110.00000000000001</v>
      </c>
      <c r="D35" s="73">
        <f>85*1.1</f>
        <v>93.500000000000014</v>
      </c>
      <c r="E35" s="73">
        <f>80*1.1</f>
        <v>88</v>
      </c>
      <c r="F35" s="74"/>
      <c r="G35" s="65">
        <v>7</v>
      </c>
      <c r="H35" s="66" t="s">
        <v>25</v>
      </c>
      <c r="I35" s="67">
        <v>127.60000000000001</v>
      </c>
      <c r="J35" s="67">
        <v>108.46000000000001</v>
      </c>
      <c r="K35" s="67">
        <v>102.08</v>
      </c>
      <c r="L35" s="67"/>
      <c r="M35" s="67">
        <f t="shared" si="4"/>
        <v>89.320000000000007</v>
      </c>
      <c r="N35" s="67">
        <f t="shared" si="5"/>
        <v>75.921999999999997</v>
      </c>
      <c r="O35" s="67">
        <f t="shared" si="6"/>
        <v>71.455999999999989</v>
      </c>
    </row>
    <row r="36" spans="1:15" ht="25.15" customHeight="1" x14ac:dyDescent="0.25">
      <c r="A36" s="64" t="s">
        <v>26</v>
      </c>
      <c r="B36" s="66" t="s">
        <v>27</v>
      </c>
      <c r="C36" s="217">
        <f>85*1.1</f>
        <v>93.500000000000014</v>
      </c>
      <c r="D36" s="218"/>
      <c r="E36" s="218"/>
      <c r="F36" s="219"/>
      <c r="G36" s="61">
        <v>8</v>
      </c>
      <c r="H36" s="66" t="s">
        <v>27</v>
      </c>
      <c r="I36" s="220">
        <v>108.46000000000001</v>
      </c>
      <c r="J36" s="220"/>
      <c r="K36" s="220"/>
      <c r="L36" s="220"/>
      <c r="M36" s="220">
        <f>I36*O6</f>
        <v>75.921999999999997</v>
      </c>
      <c r="N36" s="220"/>
      <c r="O36" s="220"/>
    </row>
    <row r="37" spans="1:15" ht="25.15" customHeight="1" x14ac:dyDescent="0.25">
      <c r="A37" s="60" t="s">
        <v>28</v>
      </c>
      <c r="B37" s="62" t="s">
        <v>810</v>
      </c>
      <c r="C37" s="72"/>
      <c r="D37" s="72"/>
      <c r="E37" s="72"/>
      <c r="F37" s="72"/>
      <c r="G37" s="60" t="s">
        <v>28</v>
      </c>
      <c r="H37" s="62" t="s">
        <v>810</v>
      </c>
      <c r="I37" s="67"/>
      <c r="J37" s="67"/>
      <c r="K37" s="67"/>
      <c r="L37" s="67"/>
      <c r="M37" s="67"/>
      <c r="N37" s="67"/>
      <c r="O37" s="67"/>
    </row>
    <row r="38" spans="1:15" ht="58.15" customHeight="1" x14ac:dyDescent="0.25">
      <c r="A38" s="64" t="s">
        <v>10</v>
      </c>
      <c r="B38" s="66" t="s">
        <v>811</v>
      </c>
      <c r="C38" s="73">
        <f>550*1.1</f>
        <v>605</v>
      </c>
      <c r="D38" s="73">
        <f>280*1.1</f>
        <v>308</v>
      </c>
      <c r="E38" s="73">
        <f>220*1.1</f>
        <v>242.00000000000003</v>
      </c>
      <c r="F38" s="74"/>
      <c r="G38" s="65">
        <v>1</v>
      </c>
      <c r="H38" s="66" t="s">
        <v>811</v>
      </c>
      <c r="I38" s="67">
        <v>701.8</v>
      </c>
      <c r="J38" s="67">
        <v>357.28</v>
      </c>
      <c r="K38" s="67">
        <v>280.72000000000003</v>
      </c>
      <c r="L38" s="67"/>
      <c r="M38" s="67">
        <f>I38*$M$6</f>
        <v>491.25999999999993</v>
      </c>
      <c r="N38" s="67">
        <f t="shared" ref="N38:O43" si="7">J38*$M$6</f>
        <v>250.09599999999998</v>
      </c>
      <c r="O38" s="67">
        <f t="shared" si="7"/>
        <v>196.50400000000002</v>
      </c>
    </row>
    <row r="39" spans="1:15" ht="58.5" customHeight="1" x14ac:dyDescent="0.25">
      <c r="A39" s="64" t="s">
        <v>11</v>
      </c>
      <c r="B39" s="62" t="s">
        <v>982</v>
      </c>
      <c r="C39" s="73">
        <f>350*1.1</f>
        <v>385.00000000000006</v>
      </c>
      <c r="D39" s="73">
        <f>230*1.1</f>
        <v>253.00000000000003</v>
      </c>
      <c r="E39" s="73">
        <f>160*1.1</f>
        <v>176</v>
      </c>
      <c r="F39" s="74"/>
      <c r="G39" s="65">
        <v>2</v>
      </c>
      <c r="H39" s="62" t="s">
        <v>982</v>
      </c>
      <c r="I39" s="67">
        <v>446.6</v>
      </c>
      <c r="J39" s="67">
        <v>293.48</v>
      </c>
      <c r="K39" s="67">
        <v>204.16</v>
      </c>
      <c r="L39" s="67"/>
      <c r="M39" s="67">
        <f t="shared" ref="M39:M43" si="8">I39*$M$6</f>
        <v>312.62</v>
      </c>
      <c r="N39" s="67">
        <f t="shared" si="7"/>
        <v>205.43600000000001</v>
      </c>
      <c r="O39" s="67">
        <f t="shared" si="7"/>
        <v>142.91199999999998</v>
      </c>
    </row>
    <row r="40" spans="1:15" ht="49.5" x14ac:dyDescent="0.25">
      <c r="A40" s="64" t="s">
        <v>29</v>
      </c>
      <c r="B40" s="62" t="s">
        <v>983</v>
      </c>
      <c r="C40" s="73">
        <f>180*1.1</f>
        <v>198.00000000000003</v>
      </c>
      <c r="D40" s="73">
        <f>140*1.1</f>
        <v>154</v>
      </c>
      <c r="E40" s="73">
        <f>100*1.1</f>
        <v>110.00000000000001</v>
      </c>
      <c r="F40" s="74"/>
      <c r="G40" s="65">
        <v>3</v>
      </c>
      <c r="H40" s="62" t="s">
        <v>984</v>
      </c>
      <c r="I40" s="67">
        <v>229.68</v>
      </c>
      <c r="J40" s="67">
        <v>178.64</v>
      </c>
      <c r="K40" s="67">
        <v>127.60000000000001</v>
      </c>
      <c r="L40" s="67"/>
      <c r="M40" s="67">
        <f t="shared" si="8"/>
        <v>160.77599999999998</v>
      </c>
      <c r="N40" s="67">
        <f t="shared" si="7"/>
        <v>125.04799999999999</v>
      </c>
      <c r="O40" s="67">
        <f t="shared" si="7"/>
        <v>89.320000000000007</v>
      </c>
    </row>
    <row r="41" spans="1:15" ht="49.5" x14ac:dyDescent="0.25">
      <c r="A41" s="64" t="s">
        <v>30</v>
      </c>
      <c r="B41" s="62" t="s">
        <v>985</v>
      </c>
      <c r="C41" s="73">
        <f>180*1.1</f>
        <v>198.00000000000003</v>
      </c>
      <c r="D41" s="73">
        <f>140*1.1</f>
        <v>154</v>
      </c>
      <c r="E41" s="73">
        <f>100*1.1</f>
        <v>110.00000000000001</v>
      </c>
      <c r="F41" s="74"/>
      <c r="G41" s="65">
        <v>4</v>
      </c>
      <c r="H41" s="62" t="s">
        <v>985</v>
      </c>
      <c r="I41" s="67">
        <v>229.68</v>
      </c>
      <c r="J41" s="67">
        <v>178.64</v>
      </c>
      <c r="K41" s="67">
        <v>127.60000000000001</v>
      </c>
      <c r="L41" s="67"/>
      <c r="M41" s="67">
        <f t="shared" si="8"/>
        <v>160.77599999999998</v>
      </c>
      <c r="N41" s="67">
        <f t="shared" si="7"/>
        <v>125.04799999999999</v>
      </c>
      <c r="O41" s="67">
        <f t="shared" si="7"/>
        <v>89.320000000000007</v>
      </c>
    </row>
    <row r="42" spans="1:15" ht="33" x14ac:dyDescent="0.25">
      <c r="A42" s="64" t="s">
        <v>31</v>
      </c>
      <c r="B42" s="62" t="s">
        <v>986</v>
      </c>
      <c r="C42" s="73">
        <f>150*1.1</f>
        <v>165</v>
      </c>
      <c r="D42" s="73">
        <f>120*1.1</f>
        <v>132</v>
      </c>
      <c r="E42" s="73">
        <f>90*1.1</f>
        <v>99.000000000000014</v>
      </c>
      <c r="F42" s="74"/>
      <c r="G42" s="65">
        <v>5</v>
      </c>
      <c r="H42" s="62" t="s">
        <v>986</v>
      </c>
      <c r="I42" s="67">
        <v>191.39999999999998</v>
      </c>
      <c r="J42" s="67">
        <v>153.11999999999998</v>
      </c>
      <c r="K42" s="67">
        <v>114.84</v>
      </c>
      <c r="L42" s="67"/>
      <c r="M42" s="67">
        <f t="shared" si="8"/>
        <v>133.97999999999999</v>
      </c>
      <c r="N42" s="67">
        <f t="shared" si="7"/>
        <v>107.18399999999998</v>
      </c>
      <c r="O42" s="67">
        <f t="shared" si="7"/>
        <v>80.387999999999991</v>
      </c>
    </row>
    <row r="43" spans="1:15" ht="40.15" customHeight="1" x14ac:dyDescent="0.25">
      <c r="A43" s="64" t="s">
        <v>32</v>
      </c>
      <c r="B43" s="66" t="s">
        <v>812</v>
      </c>
      <c r="C43" s="73">
        <f>100*1.1</f>
        <v>110.00000000000001</v>
      </c>
      <c r="D43" s="73">
        <f>85*1.1</f>
        <v>93.500000000000014</v>
      </c>
      <c r="E43" s="73">
        <f>80*1.1</f>
        <v>88</v>
      </c>
      <c r="F43" s="74"/>
      <c r="G43" s="65">
        <v>6</v>
      </c>
      <c r="H43" s="66" t="s">
        <v>812</v>
      </c>
      <c r="I43" s="67">
        <v>127.60000000000001</v>
      </c>
      <c r="J43" s="67">
        <v>108.46000000000001</v>
      </c>
      <c r="K43" s="67">
        <v>102.08</v>
      </c>
      <c r="L43" s="67"/>
      <c r="M43" s="67">
        <f t="shared" si="8"/>
        <v>89.320000000000007</v>
      </c>
      <c r="N43" s="67">
        <f t="shared" si="7"/>
        <v>75.921999999999997</v>
      </c>
      <c r="O43" s="67">
        <f t="shared" si="7"/>
        <v>71.455999999999989</v>
      </c>
    </row>
    <row r="44" spans="1:15" ht="25.15" customHeight="1" x14ac:dyDescent="0.25">
      <c r="A44" s="64" t="s">
        <v>33</v>
      </c>
      <c r="B44" s="66" t="s">
        <v>27</v>
      </c>
      <c r="C44" s="217">
        <f>80*1.1</f>
        <v>88</v>
      </c>
      <c r="D44" s="218"/>
      <c r="E44" s="218"/>
      <c r="F44" s="219"/>
      <c r="G44" s="65">
        <v>7</v>
      </c>
      <c r="H44" s="66" t="s">
        <v>27</v>
      </c>
      <c r="I44" s="220">
        <v>102.08</v>
      </c>
      <c r="J44" s="220"/>
      <c r="K44" s="220"/>
      <c r="L44" s="220"/>
      <c r="M44" s="220">
        <f>I44*0.8</f>
        <v>81.664000000000001</v>
      </c>
      <c r="N44" s="220"/>
      <c r="O44" s="220"/>
    </row>
    <row r="45" spans="1:15" ht="25.15" customHeight="1" x14ac:dyDescent="0.25">
      <c r="A45" s="60" t="s">
        <v>34</v>
      </c>
      <c r="B45" s="62" t="s">
        <v>813</v>
      </c>
      <c r="C45" s="72"/>
      <c r="D45" s="72"/>
      <c r="E45" s="72"/>
      <c r="F45" s="72"/>
      <c r="G45" s="60" t="s">
        <v>34</v>
      </c>
      <c r="H45" s="62" t="s">
        <v>813</v>
      </c>
      <c r="I45" s="67"/>
      <c r="J45" s="67"/>
      <c r="K45" s="67"/>
      <c r="L45" s="67"/>
      <c r="M45" s="67"/>
      <c r="N45" s="67"/>
      <c r="O45" s="67"/>
    </row>
    <row r="46" spans="1:15" ht="40.15" customHeight="1" x14ac:dyDescent="0.25">
      <c r="A46" s="64" t="s">
        <v>35</v>
      </c>
      <c r="B46" s="62" t="s">
        <v>987</v>
      </c>
      <c r="C46" s="73">
        <f>450*1.1</f>
        <v>495.00000000000006</v>
      </c>
      <c r="D46" s="73">
        <f>280*1.1</f>
        <v>308</v>
      </c>
      <c r="E46" s="73">
        <f>180*1.1</f>
        <v>198.00000000000003</v>
      </c>
      <c r="F46" s="73"/>
      <c r="G46" s="65">
        <v>1</v>
      </c>
      <c r="H46" s="62" t="s">
        <v>987</v>
      </c>
      <c r="I46" s="67">
        <v>574.20000000000005</v>
      </c>
      <c r="J46" s="67">
        <v>357.28</v>
      </c>
      <c r="K46" s="67">
        <v>229.68</v>
      </c>
      <c r="L46" s="67"/>
      <c r="M46" s="67">
        <f>I46*$M$6</f>
        <v>401.94</v>
      </c>
      <c r="N46" s="67">
        <f t="shared" ref="N46:O52" si="9">J46*$M$6</f>
        <v>250.09599999999998</v>
      </c>
      <c r="O46" s="67">
        <f t="shared" si="9"/>
        <v>160.77599999999998</v>
      </c>
    </row>
    <row r="47" spans="1:15" ht="40.15" customHeight="1" x14ac:dyDescent="0.25">
      <c r="A47" s="64" t="s">
        <v>36</v>
      </c>
      <c r="B47" s="62" t="s">
        <v>988</v>
      </c>
      <c r="C47" s="73">
        <f>2000*1.1</f>
        <v>2200</v>
      </c>
      <c r="D47" s="73">
        <f>1000*1.1</f>
        <v>1100</v>
      </c>
      <c r="E47" s="73">
        <f>550*1.1</f>
        <v>605</v>
      </c>
      <c r="F47" s="73"/>
      <c r="G47" s="65">
        <v>2</v>
      </c>
      <c r="H47" s="62" t="s">
        <v>988</v>
      </c>
      <c r="I47" s="67">
        <v>2552</v>
      </c>
      <c r="J47" s="67">
        <v>1276</v>
      </c>
      <c r="K47" s="67">
        <v>701.8</v>
      </c>
      <c r="L47" s="67"/>
      <c r="M47" s="67">
        <f t="shared" ref="M47:M52" si="10">I47*$M$6</f>
        <v>1786.3999999999999</v>
      </c>
      <c r="N47" s="67">
        <f t="shared" si="9"/>
        <v>893.19999999999993</v>
      </c>
      <c r="O47" s="67">
        <f t="shared" si="9"/>
        <v>491.25999999999993</v>
      </c>
    </row>
    <row r="48" spans="1:15" ht="40.15" customHeight="1" x14ac:dyDescent="0.25">
      <c r="A48" s="64" t="s">
        <v>37</v>
      </c>
      <c r="B48" s="62" t="s">
        <v>989</v>
      </c>
      <c r="C48" s="73">
        <f>4000*1.1</f>
        <v>4400</v>
      </c>
      <c r="D48" s="73">
        <f>2200*1.1</f>
        <v>2420</v>
      </c>
      <c r="E48" s="73">
        <f>1000*1.1</f>
        <v>1100</v>
      </c>
      <c r="F48" s="73"/>
      <c r="G48" s="65">
        <v>3</v>
      </c>
      <c r="H48" s="62" t="s">
        <v>989</v>
      </c>
      <c r="I48" s="67">
        <v>5104</v>
      </c>
      <c r="J48" s="67">
        <v>2807.2</v>
      </c>
      <c r="K48" s="67">
        <v>1276</v>
      </c>
      <c r="L48" s="67"/>
      <c r="M48" s="67">
        <f t="shared" si="10"/>
        <v>3572.7999999999997</v>
      </c>
      <c r="N48" s="67">
        <f t="shared" si="9"/>
        <v>1965.0399999999997</v>
      </c>
      <c r="O48" s="67">
        <f t="shared" si="9"/>
        <v>893.19999999999993</v>
      </c>
    </row>
    <row r="49" spans="1:15" ht="57" customHeight="1" x14ac:dyDescent="0.25">
      <c r="A49" s="64" t="s">
        <v>38</v>
      </c>
      <c r="B49" s="62" t="s">
        <v>990</v>
      </c>
      <c r="C49" s="73">
        <f>1800*1.1</f>
        <v>1980.0000000000002</v>
      </c>
      <c r="D49" s="73">
        <f>900*1.1</f>
        <v>990.00000000000011</v>
      </c>
      <c r="E49" s="73">
        <f>500*1.1</f>
        <v>550</v>
      </c>
      <c r="F49" s="73"/>
      <c r="G49" s="65">
        <v>4</v>
      </c>
      <c r="H49" s="62" t="s">
        <v>991</v>
      </c>
      <c r="I49" s="67">
        <v>1610</v>
      </c>
      <c r="J49" s="67">
        <v>805</v>
      </c>
      <c r="K49" s="67">
        <v>447</v>
      </c>
      <c r="L49" s="67"/>
      <c r="M49" s="67">
        <f t="shared" si="10"/>
        <v>1127</v>
      </c>
      <c r="N49" s="67">
        <f t="shared" si="9"/>
        <v>563.5</v>
      </c>
      <c r="O49" s="67">
        <f t="shared" si="9"/>
        <v>312.89999999999998</v>
      </c>
    </row>
    <row r="50" spans="1:15" ht="40.15" customHeight="1" x14ac:dyDescent="0.25">
      <c r="A50" s="64"/>
      <c r="B50" s="62"/>
      <c r="C50" s="73"/>
      <c r="D50" s="73"/>
      <c r="E50" s="73"/>
      <c r="F50" s="73"/>
      <c r="G50" s="65">
        <v>5</v>
      </c>
      <c r="H50" s="66" t="s">
        <v>992</v>
      </c>
      <c r="I50" s="67">
        <v>1770</v>
      </c>
      <c r="J50" s="67">
        <v>885</v>
      </c>
      <c r="K50" s="67">
        <v>492</v>
      </c>
      <c r="L50" s="67"/>
      <c r="M50" s="67">
        <f t="shared" si="10"/>
        <v>1239</v>
      </c>
      <c r="N50" s="67">
        <f t="shared" si="9"/>
        <v>619.5</v>
      </c>
      <c r="O50" s="67">
        <f t="shared" si="9"/>
        <v>344.4</v>
      </c>
    </row>
    <row r="51" spans="1:15" ht="40.15" customHeight="1" x14ac:dyDescent="0.25">
      <c r="A51" s="64" t="s">
        <v>39</v>
      </c>
      <c r="B51" s="62" t="s">
        <v>993</v>
      </c>
      <c r="C51" s="73">
        <f>1400*1.1</f>
        <v>1540.0000000000002</v>
      </c>
      <c r="D51" s="73">
        <f>400*1.1</f>
        <v>440.00000000000006</v>
      </c>
      <c r="E51" s="73">
        <f>200*1.1</f>
        <v>220.00000000000003</v>
      </c>
      <c r="F51" s="73"/>
      <c r="G51" s="65">
        <v>6</v>
      </c>
      <c r="H51" s="62" t="s">
        <v>994</v>
      </c>
      <c r="I51" s="75">
        <v>1786.4</v>
      </c>
      <c r="J51" s="75">
        <v>510.40000000000003</v>
      </c>
      <c r="K51" s="75">
        <v>255.20000000000002</v>
      </c>
      <c r="L51" s="67"/>
      <c r="M51" s="67">
        <f t="shared" si="10"/>
        <v>1250.48</v>
      </c>
      <c r="N51" s="67">
        <f t="shared" si="9"/>
        <v>357.28000000000003</v>
      </c>
      <c r="O51" s="67">
        <f t="shared" si="9"/>
        <v>178.64000000000001</v>
      </c>
    </row>
    <row r="52" spans="1:15" ht="40.15" customHeight="1" x14ac:dyDescent="0.25">
      <c r="A52" s="64" t="s">
        <v>40</v>
      </c>
      <c r="B52" s="66" t="s">
        <v>812</v>
      </c>
      <c r="C52" s="73">
        <f>120*1.1</f>
        <v>132</v>
      </c>
      <c r="D52" s="73">
        <f>90*1.1</f>
        <v>99.000000000000014</v>
      </c>
      <c r="E52" s="73">
        <f>80*1.1</f>
        <v>88</v>
      </c>
      <c r="F52" s="73"/>
      <c r="G52" s="65">
        <v>7</v>
      </c>
      <c r="H52" s="66" t="s">
        <v>812</v>
      </c>
      <c r="I52" s="75">
        <v>153.11999999999998</v>
      </c>
      <c r="J52" s="75">
        <v>114.84</v>
      </c>
      <c r="K52" s="75">
        <v>102.08</v>
      </c>
      <c r="L52" s="67"/>
      <c r="M52" s="67">
        <f t="shared" si="10"/>
        <v>107.18399999999998</v>
      </c>
      <c r="N52" s="67">
        <f t="shared" si="9"/>
        <v>80.387999999999991</v>
      </c>
      <c r="O52" s="67">
        <f t="shared" si="9"/>
        <v>71.455999999999989</v>
      </c>
    </row>
    <row r="53" spans="1:15" ht="25.15" customHeight="1" x14ac:dyDescent="0.25">
      <c r="A53" s="64" t="s">
        <v>41</v>
      </c>
      <c r="B53" s="66" t="s">
        <v>27</v>
      </c>
      <c r="C53" s="220">
        <f>80*1.1</f>
        <v>88</v>
      </c>
      <c r="D53" s="220"/>
      <c r="E53" s="220"/>
      <c r="F53" s="73"/>
      <c r="G53" s="65">
        <v>8</v>
      </c>
      <c r="H53" s="66" t="s">
        <v>27</v>
      </c>
      <c r="I53" s="220">
        <v>102.08</v>
      </c>
      <c r="J53" s="220"/>
      <c r="K53" s="220"/>
      <c r="L53" s="67"/>
      <c r="M53" s="220">
        <f>I53*0.8</f>
        <v>81.664000000000001</v>
      </c>
      <c r="N53" s="220"/>
      <c r="O53" s="220"/>
    </row>
    <row r="54" spans="1:15" ht="25.15" customHeight="1" x14ac:dyDescent="0.25">
      <c r="A54" s="60" t="s">
        <v>42</v>
      </c>
      <c r="B54" s="62" t="s">
        <v>814</v>
      </c>
      <c r="C54" s="72"/>
      <c r="D54" s="72"/>
      <c r="E54" s="72"/>
      <c r="F54" s="72"/>
      <c r="G54" s="60" t="s">
        <v>42</v>
      </c>
      <c r="H54" s="62" t="s">
        <v>814</v>
      </c>
      <c r="I54" s="67"/>
      <c r="J54" s="67"/>
      <c r="K54" s="67"/>
      <c r="L54" s="67"/>
      <c r="M54" s="67"/>
      <c r="N54" s="67"/>
      <c r="O54" s="67"/>
    </row>
    <row r="55" spans="1:15" x14ac:dyDescent="0.25">
      <c r="A55" s="64" t="s">
        <v>43</v>
      </c>
      <c r="B55" s="62" t="s">
        <v>995</v>
      </c>
      <c r="C55" s="73">
        <f>800*1.1</f>
        <v>880.00000000000011</v>
      </c>
      <c r="D55" s="73">
        <f>500*1.1</f>
        <v>550</v>
      </c>
      <c r="E55" s="73">
        <f>300*1.1</f>
        <v>330</v>
      </c>
      <c r="F55" s="73"/>
      <c r="G55" s="65">
        <v>1</v>
      </c>
      <c r="H55" s="62" t="s">
        <v>995</v>
      </c>
      <c r="I55" s="67">
        <v>1020.8000000000001</v>
      </c>
      <c r="J55" s="67">
        <v>638</v>
      </c>
      <c r="K55" s="67">
        <v>382.79999999999995</v>
      </c>
      <c r="L55" s="67"/>
      <c r="M55" s="67">
        <f>I55*$M$6</f>
        <v>714.56000000000006</v>
      </c>
      <c r="N55" s="67">
        <f t="shared" ref="N55:O59" si="11">J55*$M$6</f>
        <v>446.59999999999997</v>
      </c>
      <c r="O55" s="67">
        <f t="shared" si="11"/>
        <v>267.95999999999998</v>
      </c>
    </row>
    <row r="56" spans="1:15" ht="25.15" customHeight="1" x14ac:dyDescent="0.25">
      <c r="A56" s="64" t="s">
        <v>44</v>
      </c>
      <c r="B56" s="62" t="s">
        <v>996</v>
      </c>
      <c r="C56" s="73">
        <f>500*1.1</f>
        <v>550</v>
      </c>
      <c r="D56" s="73">
        <f>300*1.1</f>
        <v>330</v>
      </c>
      <c r="E56" s="73">
        <f>180*1.1</f>
        <v>198.00000000000003</v>
      </c>
      <c r="F56" s="73"/>
      <c r="G56" s="65">
        <v>2</v>
      </c>
      <c r="H56" s="62" t="s">
        <v>996</v>
      </c>
      <c r="I56" s="67">
        <v>638</v>
      </c>
      <c r="J56" s="67">
        <v>382.79999999999995</v>
      </c>
      <c r="K56" s="67">
        <v>229.68</v>
      </c>
      <c r="L56" s="67"/>
      <c r="M56" s="67">
        <f t="shared" ref="M56:M59" si="12">I56*$M$6</f>
        <v>446.59999999999997</v>
      </c>
      <c r="N56" s="67">
        <f t="shared" si="11"/>
        <v>267.95999999999998</v>
      </c>
      <c r="O56" s="67">
        <f t="shared" si="11"/>
        <v>160.77599999999998</v>
      </c>
    </row>
    <row r="57" spans="1:15" ht="40.15" customHeight="1" x14ac:dyDescent="0.25">
      <c r="A57" s="64" t="s">
        <v>45</v>
      </c>
      <c r="B57" s="76" t="s">
        <v>997</v>
      </c>
      <c r="C57" s="73">
        <f>350*1.1</f>
        <v>385.00000000000006</v>
      </c>
      <c r="D57" s="73">
        <f>230*1.1</f>
        <v>253.00000000000003</v>
      </c>
      <c r="E57" s="73">
        <f>160*1.1</f>
        <v>176</v>
      </c>
      <c r="F57" s="73"/>
      <c r="G57" s="65">
        <v>3</v>
      </c>
      <c r="H57" s="76" t="s">
        <v>997</v>
      </c>
      <c r="I57" s="67">
        <v>446.6</v>
      </c>
      <c r="J57" s="67">
        <v>293.48</v>
      </c>
      <c r="K57" s="67">
        <v>204.16</v>
      </c>
      <c r="L57" s="67"/>
      <c r="M57" s="67">
        <f t="shared" si="12"/>
        <v>312.62</v>
      </c>
      <c r="N57" s="67">
        <f t="shared" si="11"/>
        <v>205.43600000000001</v>
      </c>
      <c r="O57" s="67">
        <f t="shared" si="11"/>
        <v>142.91199999999998</v>
      </c>
    </row>
    <row r="58" spans="1:15" ht="40.15" customHeight="1" x14ac:dyDescent="0.25">
      <c r="A58" s="64" t="s">
        <v>815</v>
      </c>
      <c r="B58" s="66" t="s">
        <v>816</v>
      </c>
      <c r="C58" s="73">
        <f>230*1.1</f>
        <v>253.00000000000003</v>
      </c>
      <c r="D58" s="73">
        <f>140*1.1</f>
        <v>154</v>
      </c>
      <c r="E58" s="73">
        <f>100*1.1</f>
        <v>110.00000000000001</v>
      </c>
      <c r="F58" s="73"/>
      <c r="G58" s="65">
        <v>4</v>
      </c>
      <c r="H58" s="66" t="s">
        <v>816</v>
      </c>
      <c r="I58" s="67">
        <v>293.48</v>
      </c>
      <c r="J58" s="67">
        <v>178.64</v>
      </c>
      <c r="K58" s="67">
        <v>127.60000000000001</v>
      </c>
      <c r="L58" s="67"/>
      <c r="M58" s="67">
        <f t="shared" si="12"/>
        <v>205.43600000000001</v>
      </c>
      <c r="N58" s="67">
        <f t="shared" si="11"/>
        <v>125.04799999999999</v>
      </c>
      <c r="O58" s="67">
        <f t="shared" si="11"/>
        <v>89.320000000000007</v>
      </c>
    </row>
    <row r="59" spans="1:15" ht="40.15" customHeight="1" x14ac:dyDescent="0.25">
      <c r="A59" s="64" t="s">
        <v>46</v>
      </c>
      <c r="B59" s="66" t="s">
        <v>812</v>
      </c>
      <c r="C59" s="73">
        <f>120*1.1</f>
        <v>132</v>
      </c>
      <c r="D59" s="73">
        <f>100*1.1</f>
        <v>110.00000000000001</v>
      </c>
      <c r="E59" s="73">
        <f>90*1.1</f>
        <v>99.000000000000014</v>
      </c>
      <c r="F59" s="73"/>
      <c r="G59" s="65">
        <v>5</v>
      </c>
      <c r="H59" s="66" t="s">
        <v>812</v>
      </c>
      <c r="I59" s="67">
        <v>153.11999999999998</v>
      </c>
      <c r="J59" s="67">
        <v>127.60000000000001</v>
      </c>
      <c r="K59" s="67">
        <v>114.84</v>
      </c>
      <c r="L59" s="67"/>
      <c r="M59" s="67">
        <f t="shared" si="12"/>
        <v>107.18399999999998</v>
      </c>
      <c r="N59" s="67">
        <f t="shared" si="11"/>
        <v>89.320000000000007</v>
      </c>
      <c r="O59" s="67">
        <f t="shared" si="11"/>
        <v>80.387999999999991</v>
      </c>
    </row>
    <row r="60" spans="1:15" ht="25.15" customHeight="1" x14ac:dyDescent="0.25">
      <c r="A60" s="64" t="s">
        <v>47</v>
      </c>
      <c r="B60" s="66" t="s">
        <v>27</v>
      </c>
      <c r="C60" s="220">
        <f>80*1.1</f>
        <v>88</v>
      </c>
      <c r="D60" s="220"/>
      <c r="E60" s="220"/>
      <c r="F60" s="73"/>
      <c r="G60" s="65">
        <v>6</v>
      </c>
      <c r="H60" s="66" t="s">
        <v>27</v>
      </c>
      <c r="I60" s="220">
        <v>102.08</v>
      </c>
      <c r="J60" s="220"/>
      <c r="K60" s="220"/>
      <c r="L60" s="67"/>
      <c r="M60" s="220">
        <f>I60*0.8</f>
        <v>81.664000000000001</v>
      </c>
      <c r="N60" s="220"/>
      <c r="O60" s="220"/>
    </row>
  </sheetData>
  <autoFilter ref="A8:O60"/>
  <mergeCells count="24">
    <mergeCell ref="C53:E53"/>
    <mergeCell ref="I53:K53"/>
    <mergeCell ref="M53:O53"/>
    <mergeCell ref="C60:E60"/>
    <mergeCell ref="I60:K60"/>
    <mergeCell ref="M60:O60"/>
    <mergeCell ref="C44:F44"/>
    <mergeCell ref="I44:L44"/>
    <mergeCell ref="M44:O44"/>
    <mergeCell ref="G1:O1"/>
    <mergeCell ref="G2:O2"/>
    <mergeCell ref="G3:O3"/>
    <mergeCell ref="J4:L4"/>
    <mergeCell ref="I5:L5"/>
    <mergeCell ref="M5:O5"/>
    <mergeCell ref="C36:F36"/>
    <mergeCell ref="I36:L36"/>
    <mergeCell ref="M36:O36"/>
    <mergeCell ref="M4:O4"/>
    <mergeCell ref="A5:A7"/>
    <mergeCell ref="B5:B7"/>
    <mergeCell ref="C5:F5"/>
    <mergeCell ref="G5:G7"/>
    <mergeCell ref="H5:H7"/>
  </mergeCells>
  <pageMargins left="0.18740157480315001" right="0.19055118110236199" top="0.49055118110236201" bottom="0.19055118110236199" header="0.118110236220472" footer="0.118110236220472"/>
  <pageSetup paperSize="9" scale="80" orientation="portrait"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4"/>
  <sheetViews>
    <sheetView topLeftCell="F1" zoomScaleNormal="100" zoomScalePageLayoutView="85" workbookViewId="0">
      <selection activeCell="G8" sqref="G8"/>
    </sheetView>
  </sheetViews>
  <sheetFormatPr defaultColWidth="15.42578125" defaultRowHeight="15.75" x14ac:dyDescent="0.25"/>
  <cols>
    <col min="1" max="1" width="6.140625" style="23" hidden="1" customWidth="1"/>
    <col min="2" max="2" width="17.7109375" style="25" hidden="1" customWidth="1"/>
    <col min="3" max="3" width="8.5703125" style="26" hidden="1" customWidth="1"/>
    <col min="4" max="4" width="6.28515625" style="26" hidden="1" customWidth="1"/>
    <col min="5" max="5" width="7" style="26" hidden="1" customWidth="1"/>
    <col min="6" max="6" width="6.140625" style="23" bestFit="1" customWidth="1"/>
    <col min="7" max="7" width="51.140625" style="25" customWidth="1"/>
    <col min="8" max="8" width="12.42578125" style="27" hidden="1" customWidth="1"/>
    <col min="9" max="9" width="8.140625" style="27" hidden="1" customWidth="1"/>
    <col min="10" max="10" width="10.140625" style="27" hidden="1" customWidth="1"/>
    <col min="11" max="11" width="15.140625" style="22" customWidth="1"/>
    <col min="12" max="12" width="12.28515625" style="22" customWidth="1"/>
    <col min="13" max="13" width="11.5703125" style="22" customWidth="1"/>
    <col min="14" max="16384" width="15.42578125" style="22"/>
  </cols>
  <sheetData>
    <row r="1" spans="1:13" ht="27" customHeight="1" x14ac:dyDescent="0.25">
      <c r="A1" s="223" t="s">
        <v>48</v>
      </c>
      <c r="B1" s="223"/>
      <c r="C1" s="223"/>
      <c r="D1" s="223"/>
      <c r="E1" s="223"/>
      <c r="F1" s="230" t="s">
        <v>1137</v>
      </c>
      <c r="G1" s="230"/>
      <c r="H1" s="230"/>
      <c r="I1" s="230"/>
      <c r="J1" s="230"/>
      <c r="K1" s="77"/>
      <c r="L1" s="77"/>
      <c r="M1" s="77"/>
    </row>
    <row r="2" spans="1:13" ht="27" customHeight="1" x14ac:dyDescent="0.25">
      <c r="A2" s="58"/>
      <c r="B2" s="58"/>
      <c r="C2" s="58"/>
      <c r="D2" s="58"/>
      <c r="E2" s="58"/>
      <c r="F2" s="58"/>
      <c r="G2" s="58"/>
      <c r="H2" s="58"/>
      <c r="I2" s="58"/>
      <c r="J2" s="58"/>
      <c r="K2" s="235" t="s">
        <v>763</v>
      </c>
      <c r="L2" s="235"/>
      <c r="M2" s="235"/>
    </row>
    <row r="3" spans="1:13" ht="15.75" hidden="1" customHeight="1" x14ac:dyDescent="0.25">
      <c r="A3" s="79"/>
      <c r="B3" s="79"/>
      <c r="C3" s="231"/>
      <c r="D3" s="231"/>
      <c r="E3" s="231"/>
      <c r="F3" s="79"/>
      <c r="G3" s="79"/>
      <c r="H3" s="231" t="s">
        <v>49</v>
      </c>
      <c r="I3" s="231"/>
      <c r="J3" s="231"/>
      <c r="K3" s="80" t="s">
        <v>880</v>
      </c>
      <c r="L3" s="81">
        <v>0.7</v>
      </c>
      <c r="M3" s="77"/>
    </row>
    <row r="4" spans="1:13" ht="34.5" hidden="1" customHeight="1" x14ac:dyDescent="0.25">
      <c r="A4" s="216" t="s">
        <v>0</v>
      </c>
      <c r="B4" s="216" t="s">
        <v>1</v>
      </c>
      <c r="C4" s="232" t="s">
        <v>2</v>
      </c>
      <c r="D4" s="232"/>
      <c r="E4" s="232"/>
      <c r="F4" s="82" t="s">
        <v>0</v>
      </c>
      <c r="G4" s="82" t="s">
        <v>1</v>
      </c>
      <c r="H4" s="232" t="s">
        <v>2</v>
      </c>
      <c r="I4" s="232"/>
      <c r="J4" s="232"/>
      <c r="K4" s="225" t="s">
        <v>883</v>
      </c>
      <c r="L4" s="226"/>
      <c r="M4" s="227"/>
    </row>
    <row r="5" spans="1:13" ht="17.25" customHeight="1" x14ac:dyDescent="0.25">
      <c r="A5" s="216"/>
      <c r="B5" s="216"/>
      <c r="C5" s="76"/>
      <c r="D5" s="76"/>
      <c r="E5" s="76"/>
      <c r="F5" s="233" t="s">
        <v>0</v>
      </c>
      <c r="G5" s="233" t="s">
        <v>1</v>
      </c>
      <c r="H5" s="76"/>
      <c r="I5" s="76"/>
      <c r="J5" s="76"/>
      <c r="K5" s="225" t="s">
        <v>942</v>
      </c>
      <c r="L5" s="226"/>
      <c r="M5" s="227"/>
    </row>
    <row r="6" spans="1:13" ht="17.25" customHeight="1" x14ac:dyDescent="0.25">
      <c r="A6" s="216"/>
      <c r="B6" s="228"/>
      <c r="C6" s="76" t="s">
        <v>4</v>
      </c>
      <c r="D6" s="76" t="s">
        <v>3</v>
      </c>
      <c r="E6" s="76" t="s">
        <v>5</v>
      </c>
      <c r="F6" s="234"/>
      <c r="G6" s="234"/>
      <c r="H6" s="76" t="s">
        <v>4</v>
      </c>
      <c r="I6" s="76" t="s">
        <v>3</v>
      </c>
      <c r="J6" s="76" t="s">
        <v>5</v>
      </c>
      <c r="K6" s="60" t="s">
        <v>4</v>
      </c>
      <c r="L6" s="60" t="s">
        <v>3</v>
      </c>
      <c r="M6" s="60" t="s">
        <v>5</v>
      </c>
    </row>
    <row r="7" spans="1:13" ht="42" customHeight="1" x14ac:dyDescent="0.25">
      <c r="A7" s="60" t="s">
        <v>7</v>
      </c>
      <c r="B7" s="62" t="s">
        <v>50</v>
      </c>
      <c r="C7" s="76"/>
      <c r="D7" s="76"/>
      <c r="E7" s="76"/>
      <c r="F7" s="60" t="s">
        <v>7</v>
      </c>
      <c r="G7" s="62" t="s">
        <v>50</v>
      </c>
      <c r="H7" s="76"/>
      <c r="I7" s="76"/>
      <c r="J7" s="76"/>
      <c r="K7" s="64"/>
      <c r="L7" s="64"/>
      <c r="M7" s="64"/>
    </row>
    <row r="8" spans="1:13" ht="42" customHeight="1" x14ac:dyDescent="0.25">
      <c r="A8" s="64">
        <v>1</v>
      </c>
      <c r="B8" s="66" t="s">
        <v>51</v>
      </c>
      <c r="C8" s="85">
        <v>1400</v>
      </c>
      <c r="D8" s="86"/>
      <c r="E8" s="86"/>
      <c r="F8" s="64">
        <v>1</v>
      </c>
      <c r="G8" s="66" t="s">
        <v>51</v>
      </c>
      <c r="H8" s="87">
        <v>1595</v>
      </c>
      <c r="I8" s="86"/>
      <c r="J8" s="86"/>
      <c r="K8" s="87">
        <f>H8*$L$3</f>
        <v>1116.5</v>
      </c>
      <c r="L8" s="87"/>
      <c r="M8" s="87"/>
    </row>
    <row r="9" spans="1:13" ht="26.25" customHeight="1" x14ac:dyDescent="0.25">
      <c r="A9" s="64">
        <v>2</v>
      </c>
      <c r="B9" s="66" t="s">
        <v>52</v>
      </c>
      <c r="C9" s="85">
        <v>1450</v>
      </c>
      <c r="D9" s="86"/>
      <c r="E9" s="86"/>
      <c r="F9" s="64">
        <v>2</v>
      </c>
      <c r="G9" s="66" t="s">
        <v>52</v>
      </c>
      <c r="H9" s="87">
        <f>C9*1.1</f>
        <v>1595.0000000000002</v>
      </c>
      <c r="I9" s="86"/>
      <c r="J9" s="86"/>
      <c r="K9" s="87">
        <f t="shared" ref="K9:M71" si="0">H9*$L$3</f>
        <v>1116.5</v>
      </c>
      <c r="L9" s="87"/>
      <c r="M9" s="87"/>
    </row>
    <row r="10" spans="1:13" ht="26.25" customHeight="1" x14ac:dyDescent="0.25">
      <c r="A10" s="64">
        <v>3</v>
      </c>
      <c r="B10" s="66" t="s">
        <v>53</v>
      </c>
      <c r="C10" s="85">
        <v>1280</v>
      </c>
      <c r="D10" s="86"/>
      <c r="E10" s="86"/>
      <c r="F10" s="64">
        <v>3</v>
      </c>
      <c r="G10" s="66" t="s">
        <v>53</v>
      </c>
      <c r="H10" s="87">
        <v>1408</v>
      </c>
      <c r="I10" s="86"/>
      <c r="J10" s="86"/>
      <c r="K10" s="87">
        <f t="shared" si="0"/>
        <v>985.59999999999991</v>
      </c>
      <c r="L10" s="87"/>
      <c r="M10" s="87"/>
    </row>
    <row r="11" spans="1:13" ht="26.25" customHeight="1" x14ac:dyDescent="0.25">
      <c r="A11" s="64">
        <v>4</v>
      </c>
      <c r="B11" s="66" t="s">
        <v>54</v>
      </c>
      <c r="C11" s="85">
        <v>1150</v>
      </c>
      <c r="D11" s="86"/>
      <c r="E11" s="86"/>
      <c r="F11" s="64">
        <v>4</v>
      </c>
      <c r="G11" s="66" t="s">
        <v>54</v>
      </c>
      <c r="H11" s="87">
        <v>1265</v>
      </c>
      <c r="I11" s="86"/>
      <c r="J11" s="86"/>
      <c r="K11" s="87">
        <f t="shared" si="0"/>
        <v>885.5</v>
      </c>
      <c r="L11" s="87"/>
      <c r="M11" s="87"/>
    </row>
    <row r="12" spans="1:13" ht="26.25" customHeight="1" x14ac:dyDescent="0.25">
      <c r="A12" s="64">
        <v>5</v>
      </c>
      <c r="B12" s="66" t="s">
        <v>55</v>
      </c>
      <c r="C12" s="85">
        <v>950</v>
      </c>
      <c r="D12" s="86"/>
      <c r="E12" s="86"/>
      <c r="F12" s="64">
        <v>5</v>
      </c>
      <c r="G12" s="66" t="s">
        <v>55</v>
      </c>
      <c r="H12" s="87">
        <v>1045</v>
      </c>
      <c r="I12" s="86"/>
      <c r="J12" s="86"/>
      <c r="K12" s="87">
        <f t="shared" si="0"/>
        <v>731.5</v>
      </c>
      <c r="L12" s="87"/>
      <c r="M12" s="87"/>
    </row>
    <row r="13" spans="1:13" ht="26.25" customHeight="1" x14ac:dyDescent="0.25">
      <c r="A13" s="64">
        <v>6</v>
      </c>
      <c r="B13" s="66" t="s">
        <v>56</v>
      </c>
      <c r="C13" s="85">
        <v>900</v>
      </c>
      <c r="D13" s="86"/>
      <c r="E13" s="86"/>
      <c r="F13" s="64">
        <v>6</v>
      </c>
      <c r="G13" s="66" t="s">
        <v>56</v>
      </c>
      <c r="H13" s="87">
        <v>990</v>
      </c>
      <c r="I13" s="86"/>
      <c r="J13" s="86"/>
      <c r="K13" s="87">
        <f t="shared" si="0"/>
        <v>693</v>
      </c>
      <c r="L13" s="87"/>
      <c r="M13" s="87"/>
    </row>
    <row r="14" spans="1:13" ht="26.25" customHeight="1" x14ac:dyDescent="0.25">
      <c r="A14" s="64">
        <v>7</v>
      </c>
      <c r="B14" s="66" t="s">
        <v>57</v>
      </c>
      <c r="C14" s="85">
        <v>800</v>
      </c>
      <c r="D14" s="86"/>
      <c r="E14" s="86"/>
      <c r="F14" s="64">
        <v>7</v>
      </c>
      <c r="G14" s="66" t="s">
        <v>57</v>
      </c>
      <c r="H14" s="87">
        <v>880</v>
      </c>
      <c r="I14" s="86"/>
      <c r="J14" s="86"/>
      <c r="K14" s="87">
        <f t="shared" si="0"/>
        <v>616</v>
      </c>
      <c r="L14" s="87"/>
      <c r="M14" s="87"/>
    </row>
    <row r="15" spans="1:13" ht="26.25" customHeight="1" x14ac:dyDescent="0.25">
      <c r="A15" s="64">
        <v>8</v>
      </c>
      <c r="B15" s="66" t="s">
        <v>58</v>
      </c>
      <c r="C15" s="85">
        <v>700</v>
      </c>
      <c r="D15" s="86"/>
      <c r="E15" s="86"/>
      <c r="F15" s="64">
        <v>8</v>
      </c>
      <c r="G15" s="66" t="s">
        <v>58</v>
      </c>
      <c r="H15" s="87">
        <v>840</v>
      </c>
      <c r="I15" s="86"/>
      <c r="J15" s="86"/>
      <c r="K15" s="87">
        <f t="shared" si="0"/>
        <v>588</v>
      </c>
      <c r="L15" s="87"/>
      <c r="M15" s="87"/>
    </row>
    <row r="16" spans="1:13" ht="49.5" hidden="1" x14ac:dyDescent="0.25">
      <c r="A16" s="60" t="s">
        <v>17</v>
      </c>
      <c r="B16" s="62" t="s">
        <v>879</v>
      </c>
      <c r="C16" s="76" t="s">
        <v>59</v>
      </c>
      <c r="D16" s="76"/>
      <c r="E16" s="76"/>
      <c r="F16" s="60"/>
      <c r="G16" s="62"/>
      <c r="H16" s="76"/>
      <c r="I16" s="76"/>
      <c r="J16" s="76"/>
      <c r="K16" s="87"/>
      <c r="L16" s="87"/>
      <c r="M16" s="87"/>
    </row>
    <row r="17" spans="1:13" ht="33" x14ac:dyDescent="0.25">
      <c r="A17" s="60">
        <v>1</v>
      </c>
      <c r="B17" s="62" t="s">
        <v>60</v>
      </c>
      <c r="C17" s="76"/>
      <c r="D17" s="76"/>
      <c r="E17" s="76"/>
      <c r="F17" s="60">
        <v>1</v>
      </c>
      <c r="G17" s="62" t="s">
        <v>60</v>
      </c>
      <c r="H17" s="76"/>
      <c r="I17" s="76"/>
      <c r="J17" s="76"/>
      <c r="K17" s="87"/>
      <c r="L17" s="87"/>
      <c r="M17" s="87"/>
    </row>
    <row r="18" spans="1:13" ht="85.5" customHeight="1" x14ac:dyDescent="0.25">
      <c r="A18" s="86" t="s">
        <v>8</v>
      </c>
      <c r="B18" s="82" t="s">
        <v>999</v>
      </c>
      <c r="C18" s="85">
        <v>9500</v>
      </c>
      <c r="D18" s="85">
        <v>5000</v>
      </c>
      <c r="E18" s="85">
        <v>3500</v>
      </c>
      <c r="F18" s="86" t="s">
        <v>8</v>
      </c>
      <c r="G18" s="82" t="s">
        <v>999</v>
      </c>
      <c r="H18" s="87">
        <v>10500</v>
      </c>
      <c r="I18" s="87">
        <f>D18*1.11</f>
        <v>5550.0000000000009</v>
      </c>
      <c r="J18" s="87">
        <f>E18*1.11</f>
        <v>3885.0000000000005</v>
      </c>
      <c r="K18" s="87">
        <f t="shared" si="0"/>
        <v>7349.9999999999991</v>
      </c>
      <c r="L18" s="87">
        <f>I18*$L$3</f>
        <v>3885.0000000000005</v>
      </c>
      <c r="M18" s="87">
        <f>J18*$L$3</f>
        <v>2719.5</v>
      </c>
    </row>
    <row r="19" spans="1:13" ht="99" customHeight="1" x14ac:dyDescent="0.25">
      <c r="A19" s="64" t="s">
        <v>9</v>
      </c>
      <c r="B19" s="88" t="s">
        <v>1000</v>
      </c>
      <c r="C19" s="85">
        <v>8000</v>
      </c>
      <c r="D19" s="85">
        <v>4800</v>
      </c>
      <c r="E19" s="85">
        <v>3200</v>
      </c>
      <c r="F19" s="64" t="s">
        <v>9</v>
      </c>
      <c r="G19" s="88" t="s">
        <v>1000</v>
      </c>
      <c r="H19" s="87">
        <f t="shared" ref="H19:J26" si="1">C19*1.1</f>
        <v>8800</v>
      </c>
      <c r="I19" s="87">
        <f t="shared" si="1"/>
        <v>5280</v>
      </c>
      <c r="J19" s="87">
        <f t="shared" si="1"/>
        <v>3520.0000000000005</v>
      </c>
      <c r="K19" s="87">
        <f t="shared" si="0"/>
        <v>6160</v>
      </c>
      <c r="L19" s="87">
        <f t="shared" si="0"/>
        <v>3695.9999999999995</v>
      </c>
      <c r="M19" s="87">
        <f t="shared" si="0"/>
        <v>2464</v>
      </c>
    </row>
    <row r="20" spans="1:13" ht="66" customHeight="1" x14ac:dyDescent="0.25">
      <c r="A20" s="64" t="s">
        <v>61</v>
      </c>
      <c r="B20" s="62" t="s">
        <v>1001</v>
      </c>
      <c r="C20" s="85">
        <v>3000</v>
      </c>
      <c r="D20" s="85">
        <v>800</v>
      </c>
      <c r="E20" s="85">
        <v>450</v>
      </c>
      <c r="F20" s="64" t="s">
        <v>61</v>
      </c>
      <c r="G20" s="62" t="s">
        <v>1001</v>
      </c>
      <c r="H20" s="87">
        <f t="shared" si="1"/>
        <v>3300.0000000000005</v>
      </c>
      <c r="I20" s="87">
        <f t="shared" si="1"/>
        <v>880.00000000000011</v>
      </c>
      <c r="J20" s="87">
        <f t="shared" si="1"/>
        <v>495.00000000000006</v>
      </c>
      <c r="K20" s="87">
        <f t="shared" si="0"/>
        <v>2310</v>
      </c>
      <c r="L20" s="87">
        <f t="shared" si="0"/>
        <v>616</v>
      </c>
      <c r="M20" s="87">
        <f t="shared" si="0"/>
        <v>346.5</v>
      </c>
    </row>
    <row r="21" spans="1:13" ht="66.75" customHeight="1" x14ac:dyDescent="0.25">
      <c r="A21" s="64" t="s">
        <v>62</v>
      </c>
      <c r="B21" s="62" t="s">
        <v>1002</v>
      </c>
      <c r="C21" s="85">
        <v>3500</v>
      </c>
      <c r="D21" s="85">
        <v>1850</v>
      </c>
      <c r="E21" s="85">
        <v>950</v>
      </c>
      <c r="F21" s="64" t="s">
        <v>62</v>
      </c>
      <c r="G21" s="62" t="s">
        <v>1002</v>
      </c>
      <c r="H21" s="87">
        <f t="shared" si="1"/>
        <v>3850.0000000000005</v>
      </c>
      <c r="I21" s="87">
        <f t="shared" si="1"/>
        <v>2035.0000000000002</v>
      </c>
      <c r="J21" s="87">
        <f t="shared" si="1"/>
        <v>1045</v>
      </c>
      <c r="K21" s="87">
        <f t="shared" si="0"/>
        <v>2695</v>
      </c>
      <c r="L21" s="87">
        <f t="shared" si="0"/>
        <v>1424.5</v>
      </c>
      <c r="M21" s="87">
        <f t="shared" si="0"/>
        <v>731.5</v>
      </c>
    </row>
    <row r="22" spans="1:13" ht="74.25" customHeight="1" x14ac:dyDescent="0.25">
      <c r="A22" s="64" t="s">
        <v>63</v>
      </c>
      <c r="B22" s="62" t="s">
        <v>1003</v>
      </c>
      <c r="C22" s="85">
        <v>2000</v>
      </c>
      <c r="D22" s="85">
        <f>C22*50%</f>
        <v>1000</v>
      </c>
      <c r="E22" s="85">
        <f>C22*30%</f>
        <v>600</v>
      </c>
      <c r="F22" s="64" t="s">
        <v>63</v>
      </c>
      <c r="G22" s="62" t="s">
        <v>1003</v>
      </c>
      <c r="H22" s="87">
        <v>3340</v>
      </c>
      <c r="I22" s="87">
        <f>D22*1.67</f>
        <v>1670</v>
      </c>
      <c r="J22" s="87">
        <f>E22*1.67</f>
        <v>1002</v>
      </c>
      <c r="K22" s="87">
        <f t="shared" si="0"/>
        <v>2338</v>
      </c>
      <c r="L22" s="87">
        <f t="shared" si="0"/>
        <v>1169</v>
      </c>
      <c r="M22" s="87">
        <f t="shared" si="0"/>
        <v>701.4</v>
      </c>
    </row>
    <row r="23" spans="1:13" ht="60.75" customHeight="1" x14ac:dyDescent="0.25">
      <c r="A23" s="64" t="s">
        <v>64</v>
      </c>
      <c r="B23" s="62" t="s">
        <v>1004</v>
      </c>
      <c r="C23" s="85">
        <v>1600</v>
      </c>
      <c r="D23" s="85">
        <f>C23*50%</f>
        <v>800</v>
      </c>
      <c r="E23" s="85">
        <f>C23*30%</f>
        <v>480</v>
      </c>
      <c r="F23" s="64" t="s">
        <v>64</v>
      </c>
      <c r="G23" s="62" t="s">
        <v>1004</v>
      </c>
      <c r="H23" s="87">
        <f t="shared" si="1"/>
        <v>1760.0000000000002</v>
      </c>
      <c r="I23" s="87">
        <f t="shared" si="1"/>
        <v>880.00000000000011</v>
      </c>
      <c r="J23" s="87">
        <f t="shared" si="1"/>
        <v>528</v>
      </c>
      <c r="K23" s="87">
        <f t="shared" si="0"/>
        <v>1232</v>
      </c>
      <c r="L23" s="87">
        <f t="shared" si="0"/>
        <v>616</v>
      </c>
      <c r="M23" s="87">
        <f t="shared" si="0"/>
        <v>369.59999999999997</v>
      </c>
    </row>
    <row r="24" spans="1:13" ht="49.5" customHeight="1" x14ac:dyDescent="0.25">
      <c r="A24" s="64" t="s">
        <v>65</v>
      </c>
      <c r="B24" s="66" t="s">
        <v>66</v>
      </c>
      <c r="C24" s="86">
        <v>800</v>
      </c>
      <c r="D24" s="85">
        <v>550</v>
      </c>
      <c r="E24" s="85">
        <v>320</v>
      </c>
      <c r="F24" s="64" t="s">
        <v>65</v>
      </c>
      <c r="G24" s="66" t="s">
        <v>66</v>
      </c>
      <c r="H24" s="87">
        <f t="shared" si="1"/>
        <v>880.00000000000011</v>
      </c>
      <c r="I24" s="87">
        <f t="shared" si="1"/>
        <v>605</v>
      </c>
      <c r="J24" s="87">
        <f t="shared" si="1"/>
        <v>352</v>
      </c>
      <c r="K24" s="87">
        <f t="shared" si="0"/>
        <v>616</v>
      </c>
      <c r="L24" s="87">
        <f t="shared" si="0"/>
        <v>423.5</v>
      </c>
      <c r="M24" s="87">
        <f t="shared" si="0"/>
        <v>246.39999999999998</v>
      </c>
    </row>
    <row r="25" spans="1:13" ht="53.25" customHeight="1" x14ac:dyDescent="0.25">
      <c r="A25" s="64" t="s">
        <v>67</v>
      </c>
      <c r="B25" s="66" t="s">
        <v>68</v>
      </c>
      <c r="C25" s="86">
        <v>700</v>
      </c>
      <c r="D25" s="85">
        <v>420</v>
      </c>
      <c r="E25" s="85">
        <v>280</v>
      </c>
      <c r="F25" s="64" t="s">
        <v>67</v>
      </c>
      <c r="G25" s="66" t="s">
        <v>68</v>
      </c>
      <c r="H25" s="87">
        <f t="shared" si="1"/>
        <v>770.00000000000011</v>
      </c>
      <c r="I25" s="87">
        <f t="shared" si="1"/>
        <v>462.00000000000006</v>
      </c>
      <c r="J25" s="87">
        <f t="shared" si="1"/>
        <v>308</v>
      </c>
      <c r="K25" s="87">
        <f t="shared" si="0"/>
        <v>539</v>
      </c>
      <c r="L25" s="87">
        <f t="shared" si="0"/>
        <v>323.40000000000003</v>
      </c>
      <c r="M25" s="87">
        <f t="shared" si="0"/>
        <v>215.6</v>
      </c>
    </row>
    <row r="26" spans="1:13" ht="66.75" customHeight="1" x14ac:dyDescent="0.25">
      <c r="A26" s="89" t="s">
        <v>69</v>
      </c>
      <c r="B26" s="90" t="s">
        <v>70</v>
      </c>
      <c r="C26" s="86">
        <v>650</v>
      </c>
      <c r="D26" s="85">
        <v>350</v>
      </c>
      <c r="E26" s="85">
        <v>280</v>
      </c>
      <c r="F26" s="89" t="s">
        <v>69</v>
      </c>
      <c r="G26" s="90" t="s">
        <v>70</v>
      </c>
      <c r="H26" s="91">
        <f t="shared" si="1"/>
        <v>715.00000000000011</v>
      </c>
      <c r="I26" s="87">
        <f t="shared" si="1"/>
        <v>385.00000000000006</v>
      </c>
      <c r="J26" s="87">
        <f t="shared" si="1"/>
        <v>308</v>
      </c>
      <c r="K26" s="87">
        <f t="shared" si="0"/>
        <v>500.50000000000006</v>
      </c>
      <c r="L26" s="87">
        <f t="shared" si="0"/>
        <v>269.5</v>
      </c>
      <c r="M26" s="87">
        <f t="shared" si="0"/>
        <v>215.6</v>
      </c>
    </row>
    <row r="27" spans="1:13" ht="39.75" customHeight="1" x14ac:dyDescent="0.25">
      <c r="A27" s="64" t="s">
        <v>71</v>
      </c>
      <c r="B27" s="66" t="s">
        <v>72</v>
      </c>
      <c r="C27" s="85">
        <v>550</v>
      </c>
      <c r="D27" s="85">
        <v>350</v>
      </c>
      <c r="E27" s="85">
        <v>250</v>
      </c>
      <c r="F27" s="64" t="s">
        <v>71</v>
      </c>
      <c r="G27" s="66" t="s">
        <v>72</v>
      </c>
      <c r="H27" s="87">
        <v>1100</v>
      </c>
      <c r="I27" s="87">
        <f>H27*64%</f>
        <v>704</v>
      </c>
      <c r="J27" s="87">
        <f>H27*45%</f>
        <v>495</v>
      </c>
      <c r="K27" s="87">
        <f t="shared" si="0"/>
        <v>770</v>
      </c>
      <c r="L27" s="87">
        <f t="shared" si="0"/>
        <v>492.79999999999995</v>
      </c>
      <c r="M27" s="87">
        <f t="shared" si="0"/>
        <v>346.5</v>
      </c>
    </row>
    <row r="28" spans="1:13" ht="39.75" customHeight="1" x14ac:dyDescent="0.25">
      <c r="A28" s="228" t="s">
        <v>73</v>
      </c>
      <c r="B28" s="66" t="s">
        <v>74</v>
      </c>
      <c r="C28" s="85">
        <v>400</v>
      </c>
      <c r="D28" s="85">
        <v>280</v>
      </c>
      <c r="E28" s="85">
        <v>200</v>
      </c>
      <c r="F28" s="228" t="s">
        <v>73</v>
      </c>
      <c r="G28" s="66" t="s">
        <v>74</v>
      </c>
      <c r="H28" s="91">
        <v>590</v>
      </c>
      <c r="I28" s="87">
        <f>H28*70%</f>
        <v>413</v>
      </c>
      <c r="J28" s="87">
        <f>H28*50%</f>
        <v>295</v>
      </c>
      <c r="K28" s="87">
        <f t="shared" si="0"/>
        <v>413</v>
      </c>
      <c r="L28" s="87">
        <f t="shared" si="0"/>
        <v>289.09999999999997</v>
      </c>
      <c r="M28" s="87">
        <f t="shared" si="0"/>
        <v>206.5</v>
      </c>
    </row>
    <row r="29" spans="1:13" ht="39.75" customHeight="1" x14ac:dyDescent="0.25">
      <c r="A29" s="229"/>
      <c r="B29" s="66" t="s">
        <v>75</v>
      </c>
      <c r="C29" s="85">
        <v>300</v>
      </c>
      <c r="D29" s="85">
        <v>200</v>
      </c>
      <c r="E29" s="85">
        <v>150</v>
      </c>
      <c r="F29" s="229"/>
      <c r="G29" s="66" t="s">
        <v>75</v>
      </c>
      <c r="H29" s="91">
        <v>512</v>
      </c>
      <c r="I29" s="87">
        <f>67%*H29</f>
        <v>343.04</v>
      </c>
      <c r="J29" s="87">
        <f>H29*50%</f>
        <v>256</v>
      </c>
      <c r="K29" s="87">
        <f t="shared" si="0"/>
        <v>358.4</v>
      </c>
      <c r="L29" s="87">
        <f t="shared" si="0"/>
        <v>240.12799999999999</v>
      </c>
      <c r="M29" s="87">
        <f t="shared" si="0"/>
        <v>179.2</v>
      </c>
    </row>
    <row r="30" spans="1:13" ht="39.75" customHeight="1" x14ac:dyDescent="0.25">
      <c r="A30" s="229"/>
      <c r="B30" s="66" t="s">
        <v>76</v>
      </c>
      <c r="C30" s="86">
        <v>220</v>
      </c>
      <c r="D30" s="85">
        <v>140</v>
      </c>
      <c r="E30" s="85">
        <v>100</v>
      </c>
      <c r="F30" s="229"/>
      <c r="G30" s="66" t="s">
        <v>76</v>
      </c>
      <c r="H30" s="91">
        <v>400</v>
      </c>
      <c r="I30" s="87">
        <f>64%*H30</f>
        <v>256</v>
      </c>
      <c r="J30" s="87">
        <f>45%*H30</f>
        <v>180</v>
      </c>
      <c r="K30" s="87">
        <f t="shared" si="0"/>
        <v>280</v>
      </c>
      <c r="L30" s="87">
        <f t="shared" si="0"/>
        <v>179.2</v>
      </c>
      <c r="M30" s="87">
        <f t="shared" si="0"/>
        <v>125.99999999999999</v>
      </c>
    </row>
    <row r="31" spans="1:13" ht="27" customHeight="1" x14ac:dyDescent="0.25">
      <c r="A31" s="64" t="s">
        <v>77</v>
      </c>
      <c r="B31" s="66" t="s">
        <v>27</v>
      </c>
      <c r="C31" s="85">
        <v>120</v>
      </c>
      <c r="D31" s="85">
        <v>100</v>
      </c>
      <c r="E31" s="85">
        <v>90</v>
      </c>
      <c r="F31" s="64" t="s">
        <v>77</v>
      </c>
      <c r="G31" s="66" t="s">
        <v>27</v>
      </c>
      <c r="H31" s="91">
        <f>C31*1.1</f>
        <v>132</v>
      </c>
      <c r="I31" s="87">
        <f>D31*1.1</f>
        <v>110.00000000000001</v>
      </c>
      <c r="J31" s="87">
        <f>E31*1.1</f>
        <v>99.000000000000014</v>
      </c>
      <c r="K31" s="87">
        <f t="shared" si="0"/>
        <v>92.399999999999991</v>
      </c>
      <c r="L31" s="87">
        <f t="shared" si="0"/>
        <v>77</v>
      </c>
      <c r="M31" s="87">
        <f t="shared" si="0"/>
        <v>69.300000000000011</v>
      </c>
    </row>
    <row r="32" spans="1:13" ht="72.75" customHeight="1" x14ac:dyDescent="0.25">
      <c r="A32" s="64" t="s">
        <v>78</v>
      </c>
      <c r="B32" s="66" t="s">
        <v>79</v>
      </c>
      <c r="C32" s="85">
        <v>1500</v>
      </c>
      <c r="D32" s="85">
        <v>750</v>
      </c>
      <c r="E32" s="85">
        <v>450</v>
      </c>
      <c r="F32" s="64" t="s">
        <v>80</v>
      </c>
      <c r="G32" s="66" t="s">
        <v>79</v>
      </c>
      <c r="H32" s="87">
        <v>2680</v>
      </c>
      <c r="I32" s="87">
        <f>D32*1.79</f>
        <v>1342.5</v>
      </c>
      <c r="J32" s="87">
        <f>E32*1.79</f>
        <v>805.5</v>
      </c>
      <c r="K32" s="87">
        <f t="shared" si="0"/>
        <v>1875.9999999999998</v>
      </c>
      <c r="L32" s="87">
        <f t="shared" si="0"/>
        <v>939.74999999999989</v>
      </c>
      <c r="M32" s="87">
        <f t="shared" si="0"/>
        <v>563.84999999999991</v>
      </c>
    </row>
    <row r="33" spans="1:13" ht="33" x14ac:dyDescent="0.25">
      <c r="A33" s="64" t="s">
        <v>80</v>
      </c>
      <c r="B33" s="62" t="s">
        <v>81</v>
      </c>
      <c r="C33" s="85"/>
      <c r="D33" s="85"/>
      <c r="E33" s="85"/>
      <c r="F33" s="64" t="s">
        <v>902</v>
      </c>
      <c r="G33" s="62" t="s">
        <v>81</v>
      </c>
      <c r="H33" s="85"/>
      <c r="I33" s="85"/>
      <c r="J33" s="85"/>
      <c r="K33" s="87"/>
      <c r="L33" s="87"/>
      <c r="M33" s="87"/>
    </row>
    <row r="34" spans="1:13" ht="33" customHeight="1" x14ac:dyDescent="0.25">
      <c r="A34" s="86"/>
      <c r="B34" s="66" t="s">
        <v>82</v>
      </c>
      <c r="C34" s="85">
        <v>6500</v>
      </c>
      <c r="D34" s="85"/>
      <c r="E34" s="85"/>
      <c r="F34" s="64" t="s">
        <v>1120</v>
      </c>
      <c r="G34" s="66" t="s">
        <v>82</v>
      </c>
      <c r="H34" s="87">
        <v>7180</v>
      </c>
      <c r="I34" s="85"/>
      <c r="J34" s="85"/>
      <c r="K34" s="87">
        <f t="shared" si="0"/>
        <v>5026</v>
      </c>
      <c r="L34" s="87"/>
      <c r="M34" s="87"/>
    </row>
    <row r="35" spans="1:13" ht="35.25" customHeight="1" x14ac:dyDescent="0.25">
      <c r="A35" s="86"/>
      <c r="B35" s="66" t="s">
        <v>83</v>
      </c>
      <c r="C35" s="85">
        <v>5650</v>
      </c>
      <c r="D35" s="85"/>
      <c r="E35" s="85"/>
      <c r="F35" s="64" t="s">
        <v>1121</v>
      </c>
      <c r="G35" s="66" t="s">
        <v>83</v>
      </c>
      <c r="H35" s="87">
        <v>6223</v>
      </c>
      <c r="I35" s="85"/>
      <c r="J35" s="85"/>
      <c r="K35" s="87">
        <f t="shared" si="0"/>
        <v>4356.0999999999995</v>
      </c>
      <c r="L35" s="87"/>
      <c r="M35" s="87"/>
    </row>
    <row r="36" spans="1:13" ht="28.5" customHeight="1" x14ac:dyDescent="0.25">
      <c r="A36" s="86"/>
      <c r="B36" s="66" t="s">
        <v>84</v>
      </c>
      <c r="C36" s="85">
        <v>5250</v>
      </c>
      <c r="D36" s="85"/>
      <c r="E36" s="85"/>
      <c r="F36" s="64" t="s">
        <v>1122</v>
      </c>
      <c r="G36" s="66" t="s">
        <v>84</v>
      </c>
      <c r="H36" s="87">
        <v>5777</v>
      </c>
      <c r="I36" s="85"/>
      <c r="J36" s="85"/>
      <c r="K36" s="87">
        <f t="shared" si="0"/>
        <v>4043.8999999999996</v>
      </c>
      <c r="L36" s="87"/>
      <c r="M36" s="87"/>
    </row>
    <row r="37" spans="1:13" ht="28.5" customHeight="1" x14ac:dyDescent="0.25">
      <c r="A37" s="86"/>
      <c r="B37" s="66" t="s">
        <v>85</v>
      </c>
      <c r="C37" s="85">
        <v>4700</v>
      </c>
      <c r="D37" s="85"/>
      <c r="E37" s="85"/>
      <c r="F37" s="64" t="s">
        <v>1123</v>
      </c>
      <c r="G37" s="66" t="s">
        <v>85</v>
      </c>
      <c r="H37" s="87">
        <v>5197</v>
      </c>
      <c r="I37" s="85"/>
      <c r="J37" s="85"/>
      <c r="K37" s="87">
        <f t="shared" si="0"/>
        <v>3637.8999999999996</v>
      </c>
      <c r="L37" s="87"/>
      <c r="M37" s="87"/>
    </row>
    <row r="38" spans="1:13" ht="28.5" customHeight="1" x14ac:dyDescent="0.25">
      <c r="A38" s="86"/>
      <c r="B38" s="66" t="s">
        <v>86</v>
      </c>
      <c r="C38" s="85">
        <v>3700</v>
      </c>
      <c r="D38" s="85"/>
      <c r="E38" s="85"/>
      <c r="F38" s="64" t="s">
        <v>1124</v>
      </c>
      <c r="G38" s="66" t="s">
        <v>86</v>
      </c>
      <c r="H38" s="87">
        <v>4090</v>
      </c>
      <c r="I38" s="85"/>
      <c r="J38" s="85"/>
      <c r="K38" s="87">
        <f t="shared" si="0"/>
        <v>2863</v>
      </c>
      <c r="L38" s="87"/>
      <c r="M38" s="87"/>
    </row>
    <row r="39" spans="1:13" ht="28.5" customHeight="1" x14ac:dyDescent="0.25">
      <c r="A39" s="86"/>
      <c r="B39" s="66" t="s">
        <v>87</v>
      </c>
      <c r="C39" s="85">
        <v>3400</v>
      </c>
      <c r="D39" s="85"/>
      <c r="E39" s="85"/>
      <c r="F39" s="64" t="s">
        <v>1125</v>
      </c>
      <c r="G39" s="66" t="s">
        <v>87</v>
      </c>
      <c r="H39" s="87">
        <v>3760</v>
      </c>
      <c r="I39" s="85"/>
      <c r="J39" s="85"/>
      <c r="K39" s="87">
        <f t="shared" si="0"/>
        <v>2632</v>
      </c>
      <c r="L39" s="87"/>
      <c r="M39" s="87"/>
    </row>
    <row r="40" spans="1:13" ht="53.25" customHeight="1" x14ac:dyDescent="0.25">
      <c r="A40" s="86"/>
      <c r="B40" s="66" t="s">
        <v>88</v>
      </c>
      <c r="C40" s="85">
        <v>3250</v>
      </c>
      <c r="D40" s="85"/>
      <c r="E40" s="85"/>
      <c r="F40" s="64" t="s">
        <v>1126</v>
      </c>
      <c r="G40" s="66" t="s">
        <v>1118</v>
      </c>
      <c r="H40" s="87">
        <v>3580</v>
      </c>
      <c r="I40" s="85"/>
      <c r="J40" s="85"/>
      <c r="K40" s="87">
        <f t="shared" si="0"/>
        <v>2506</v>
      </c>
      <c r="L40" s="87"/>
      <c r="M40" s="87"/>
    </row>
    <row r="41" spans="1:13" ht="28.5" customHeight="1" x14ac:dyDescent="0.25">
      <c r="A41" s="86"/>
      <c r="B41" s="66" t="s">
        <v>89</v>
      </c>
      <c r="C41" s="85">
        <v>3150</v>
      </c>
      <c r="D41" s="85"/>
      <c r="E41" s="85"/>
      <c r="F41" s="64" t="s">
        <v>1127</v>
      </c>
      <c r="G41" s="66" t="s">
        <v>89</v>
      </c>
      <c r="H41" s="87">
        <v>3480</v>
      </c>
      <c r="I41" s="85"/>
      <c r="J41" s="85"/>
      <c r="K41" s="87">
        <f t="shared" si="0"/>
        <v>2436</v>
      </c>
      <c r="L41" s="87"/>
      <c r="M41" s="87"/>
    </row>
    <row r="42" spans="1:13" ht="45.75" customHeight="1" x14ac:dyDescent="0.25">
      <c r="A42" s="86"/>
      <c r="B42" s="66" t="s">
        <v>90</v>
      </c>
      <c r="C42" s="85">
        <v>3040</v>
      </c>
      <c r="D42" s="85"/>
      <c r="E42" s="85"/>
      <c r="F42" s="64" t="s">
        <v>1128</v>
      </c>
      <c r="G42" s="66" t="s">
        <v>90</v>
      </c>
      <c r="H42" s="87">
        <f t="shared" ref="H42" si="2">C42*1.1</f>
        <v>3344.0000000000005</v>
      </c>
      <c r="I42" s="85"/>
      <c r="J42" s="85"/>
      <c r="K42" s="87">
        <f t="shared" si="0"/>
        <v>2340.8000000000002</v>
      </c>
      <c r="L42" s="87"/>
      <c r="M42" s="87"/>
    </row>
    <row r="43" spans="1:13" s="23" customFormat="1" ht="16.5" x14ac:dyDescent="0.25">
      <c r="A43" s="60">
        <v>2</v>
      </c>
      <c r="B43" s="62" t="s">
        <v>91</v>
      </c>
      <c r="C43" s="85"/>
      <c r="D43" s="85"/>
      <c r="E43" s="85"/>
      <c r="F43" s="60">
        <v>2</v>
      </c>
      <c r="G43" s="62" t="s">
        <v>91</v>
      </c>
      <c r="H43" s="85"/>
      <c r="I43" s="85"/>
      <c r="J43" s="85"/>
      <c r="K43" s="87"/>
      <c r="L43" s="87"/>
      <c r="M43" s="87"/>
    </row>
    <row r="44" spans="1:13" ht="37.5" customHeight="1" x14ac:dyDescent="0.25">
      <c r="A44" s="64" t="s">
        <v>92</v>
      </c>
      <c r="B44" s="62" t="s">
        <v>1005</v>
      </c>
      <c r="C44" s="85">
        <v>1800</v>
      </c>
      <c r="D44" s="85">
        <v>1050</v>
      </c>
      <c r="E44" s="85">
        <v>550</v>
      </c>
      <c r="F44" s="64" t="s">
        <v>92</v>
      </c>
      <c r="G44" s="93" t="s">
        <v>93</v>
      </c>
      <c r="H44" s="87">
        <v>2000</v>
      </c>
      <c r="I44" s="87">
        <f>D44*1.11</f>
        <v>1165.5</v>
      </c>
      <c r="J44" s="87">
        <f>E44*1.11</f>
        <v>610.5</v>
      </c>
      <c r="K44" s="87">
        <f t="shared" si="0"/>
        <v>1400</v>
      </c>
      <c r="L44" s="87">
        <f t="shared" si="0"/>
        <v>815.84999999999991</v>
      </c>
      <c r="M44" s="87">
        <f t="shared" si="0"/>
        <v>427.34999999999997</v>
      </c>
    </row>
    <row r="45" spans="1:13" ht="57" customHeight="1" x14ac:dyDescent="0.25">
      <c r="A45" s="64" t="s">
        <v>14</v>
      </c>
      <c r="B45" s="62" t="s">
        <v>1006</v>
      </c>
      <c r="C45" s="85">
        <v>5000</v>
      </c>
      <c r="D45" s="85">
        <f>C45*50%</f>
        <v>2500</v>
      </c>
      <c r="E45" s="85">
        <v>1400</v>
      </c>
      <c r="F45" s="64" t="s">
        <v>14</v>
      </c>
      <c r="G45" s="66" t="s">
        <v>976</v>
      </c>
      <c r="H45" s="87">
        <f t="shared" ref="H45:J48" si="3">C45*1.1</f>
        <v>5500</v>
      </c>
      <c r="I45" s="87">
        <f t="shared" si="3"/>
        <v>2750</v>
      </c>
      <c r="J45" s="87">
        <f t="shared" si="3"/>
        <v>1540.0000000000002</v>
      </c>
      <c r="K45" s="87">
        <f t="shared" si="0"/>
        <v>3849.9999999999995</v>
      </c>
      <c r="L45" s="87">
        <f t="shared" si="0"/>
        <v>1924.9999999999998</v>
      </c>
      <c r="M45" s="87">
        <f t="shared" si="0"/>
        <v>1078</v>
      </c>
    </row>
    <row r="46" spans="1:13" ht="51" customHeight="1" x14ac:dyDescent="0.25">
      <c r="A46" s="64" t="s">
        <v>94</v>
      </c>
      <c r="B46" s="62" t="s">
        <v>1007</v>
      </c>
      <c r="C46" s="85">
        <v>600</v>
      </c>
      <c r="D46" s="85">
        <v>350</v>
      </c>
      <c r="E46" s="85">
        <v>250</v>
      </c>
      <c r="F46" s="64" t="s">
        <v>94</v>
      </c>
      <c r="G46" s="62" t="s">
        <v>1007</v>
      </c>
      <c r="H46" s="87">
        <v>680</v>
      </c>
      <c r="I46" s="87">
        <f>D46*1.13</f>
        <v>395.49999999999994</v>
      </c>
      <c r="J46" s="87">
        <f>E46*1.13</f>
        <v>282.5</v>
      </c>
      <c r="K46" s="87">
        <f t="shared" si="0"/>
        <v>475.99999999999994</v>
      </c>
      <c r="L46" s="87">
        <f t="shared" si="0"/>
        <v>276.84999999999997</v>
      </c>
      <c r="M46" s="87">
        <f t="shared" si="0"/>
        <v>197.75</v>
      </c>
    </row>
    <row r="47" spans="1:13" ht="60.75" customHeight="1" x14ac:dyDescent="0.25">
      <c r="A47" s="64" t="s">
        <v>95</v>
      </c>
      <c r="B47" s="62" t="s">
        <v>1008</v>
      </c>
      <c r="C47" s="85">
        <v>950</v>
      </c>
      <c r="D47" s="85">
        <v>650</v>
      </c>
      <c r="E47" s="85">
        <v>450</v>
      </c>
      <c r="F47" s="64" t="s">
        <v>95</v>
      </c>
      <c r="G47" s="62" t="s">
        <v>1008</v>
      </c>
      <c r="H47" s="87">
        <v>1050</v>
      </c>
      <c r="I47" s="87">
        <f>D47*1.11</f>
        <v>721.50000000000011</v>
      </c>
      <c r="J47" s="87">
        <f>E47*1.11</f>
        <v>499.50000000000006</v>
      </c>
      <c r="K47" s="87">
        <f t="shared" si="0"/>
        <v>735</v>
      </c>
      <c r="L47" s="87">
        <f t="shared" si="0"/>
        <v>505.05000000000007</v>
      </c>
      <c r="M47" s="87">
        <f t="shared" si="0"/>
        <v>349.65000000000003</v>
      </c>
    </row>
    <row r="48" spans="1:13" ht="67.5" customHeight="1" x14ac:dyDescent="0.25">
      <c r="A48" s="64" t="s">
        <v>96</v>
      </c>
      <c r="B48" s="62" t="s">
        <v>1009</v>
      </c>
      <c r="C48" s="85">
        <v>700</v>
      </c>
      <c r="D48" s="85">
        <v>420</v>
      </c>
      <c r="E48" s="85">
        <v>280</v>
      </c>
      <c r="F48" s="64" t="s">
        <v>96</v>
      </c>
      <c r="G48" s="62" t="s">
        <v>1009</v>
      </c>
      <c r="H48" s="87">
        <f t="shared" si="3"/>
        <v>770.00000000000011</v>
      </c>
      <c r="I48" s="87">
        <f t="shared" si="3"/>
        <v>462.00000000000006</v>
      </c>
      <c r="J48" s="87">
        <f t="shared" si="3"/>
        <v>308</v>
      </c>
      <c r="K48" s="87">
        <f t="shared" si="0"/>
        <v>539</v>
      </c>
      <c r="L48" s="87">
        <f t="shared" si="0"/>
        <v>323.40000000000003</v>
      </c>
      <c r="M48" s="87">
        <f t="shared" si="0"/>
        <v>215.6</v>
      </c>
    </row>
    <row r="49" spans="1:13" ht="53.25" customHeight="1" x14ac:dyDescent="0.25">
      <c r="A49" s="64" t="s">
        <v>97</v>
      </c>
      <c r="B49" s="62" t="s">
        <v>1010</v>
      </c>
      <c r="C49" s="85">
        <v>200</v>
      </c>
      <c r="D49" s="85">
        <v>140</v>
      </c>
      <c r="E49" s="85">
        <v>100</v>
      </c>
      <c r="F49" s="64" t="s">
        <v>97</v>
      </c>
      <c r="G49" s="93" t="s">
        <v>98</v>
      </c>
      <c r="H49" s="87">
        <v>230</v>
      </c>
      <c r="I49" s="87">
        <f>D49*1.15</f>
        <v>161</v>
      </c>
      <c r="J49" s="87">
        <f>E49*1.15</f>
        <v>114.99999999999999</v>
      </c>
      <c r="K49" s="87">
        <f t="shared" si="0"/>
        <v>161</v>
      </c>
      <c r="L49" s="87">
        <f t="shared" si="0"/>
        <v>112.69999999999999</v>
      </c>
      <c r="M49" s="87">
        <f t="shared" si="0"/>
        <v>80.499999999999986</v>
      </c>
    </row>
    <row r="50" spans="1:13" ht="47.25" customHeight="1" x14ac:dyDescent="0.25">
      <c r="A50" s="64" t="s">
        <v>99</v>
      </c>
      <c r="B50" s="62" t="s">
        <v>1011</v>
      </c>
      <c r="C50" s="85">
        <v>270</v>
      </c>
      <c r="D50" s="85">
        <v>170</v>
      </c>
      <c r="E50" s="85">
        <v>130</v>
      </c>
      <c r="F50" s="64" t="s">
        <v>99</v>
      </c>
      <c r="G50" s="66" t="s">
        <v>100</v>
      </c>
      <c r="H50" s="87">
        <v>800</v>
      </c>
      <c r="I50" s="87">
        <f>D50*2.96</f>
        <v>503.2</v>
      </c>
      <c r="J50" s="87">
        <f>E50*2.96</f>
        <v>384.8</v>
      </c>
      <c r="K50" s="87">
        <f t="shared" si="0"/>
        <v>560</v>
      </c>
      <c r="L50" s="87">
        <f t="shared" si="0"/>
        <v>352.23999999999995</v>
      </c>
      <c r="M50" s="87">
        <f t="shared" si="0"/>
        <v>269.36</v>
      </c>
    </row>
    <row r="51" spans="1:13" ht="48.75" customHeight="1" x14ac:dyDescent="0.25">
      <c r="A51" s="64" t="s">
        <v>101</v>
      </c>
      <c r="B51" s="66" t="s">
        <v>102</v>
      </c>
      <c r="C51" s="85">
        <v>1200</v>
      </c>
      <c r="D51" s="85">
        <v>680</v>
      </c>
      <c r="E51" s="85">
        <f>C51*30%</f>
        <v>360</v>
      </c>
      <c r="F51" s="64" t="s">
        <v>101</v>
      </c>
      <c r="G51" s="66" t="s">
        <v>102</v>
      </c>
      <c r="H51" s="87">
        <v>1330</v>
      </c>
      <c r="I51" s="87">
        <f>D51*1.11</f>
        <v>754.80000000000007</v>
      </c>
      <c r="J51" s="87">
        <f>E51*1.11</f>
        <v>399.6</v>
      </c>
      <c r="K51" s="87">
        <f t="shared" si="0"/>
        <v>930.99999999999989</v>
      </c>
      <c r="L51" s="87">
        <f t="shared" si="0"/>
        <v>528.36</v>
      </c>
      <c r="M51" s="87">
        <f t="shared" si="0"/>
        <v>279.71999999999997</v>
      </c>
    </row>
    <row r="52" spans="1:13" ht="39" customHeight="1" x14ac:dyDescent="0.25">
      <c r="A52" s="228" t="s">
        <v>103</v>
      </c>
      <c r="B52" s="66" t="s">
        <v>74</v>
      </c>
      <c r="C52" s="85">
        <v>300</v>
      </c>
      <c r="D52" s="85">
        <v>200</v>
      </c>
      <c r="E52" s="85">
        <v>150</v>
      </c>
      <c r="F52" s="228" t="s">
        <v>103</v>
      </c>
      <c r="G52" s="66" t="s">
        <v>74</v>
      </c>
      <c r="H52" s="87">
        <v>800</v>
      </c>
      <c r="I52" s="87">
        <f>H52*67%</f>
        <v>536</v>
      </c>
      <c r="J52" s="87">
        <f>H52*50%</f>
        <v>400</v>
      </c>
      <c r="K52" s="87">
        <f t="shared" si="0"/>
        <v>560</v>
      </c>
      <c r="L52" s="87">
        <f t="shared" si="0"/>
        <v>375.2</v>
      </c>
      <c r="M52" s="87">
        <f t="shared" si="0"/>
        <v>280</v>
      </c>
    </row>
    <row r="53" spans="1:13" ht="39" customHeight="1" x14ac:dyDescent="0.25">
      <c r="A53" s="228"/>
      <c r="B53" s="66" t="s">
        <v>75</v>
      </c>
      <c r="C53" s="85">
        <v>220</v>
      </c>
      <c r="D53" s="85">
        <v>150</v>
      </c>
      <c r="E53" s="85">
        <v>120</v>
      </c>
      <c r="F53" s="228"/>
      <c r="G53" s="66" t="s">
        <v>75</v>
      </c>
      <c r="H53" s="87">
        <v>734</v>
      </c>
      <c r="I53" s="87">
        <f>H53*68%</f>
        <v>499.12000000000006</v>
      </c>
      <c r="J53" s="87">
        <f>54%*H53</f>
        <v>396.36</v>
      </c>
      <c r="K53" s="87">
        <f t="shared" si="0"/>
        <v>513.79999999999995</v>
      </c>
      <c r="L53" s="87">
        <f t="shared" si="0"/>
        <v>349.38400000000001</v>
      </c>
      <c r="M53" s="87">
        <f t="shared" si="0"/>
        <v>277.452</v>
      </c>
    </row>
    <row r="54" spans="1:13" ht="39" customHeight="1" x14ac:dyDescent="0.25">
      <c r="A54" s="228"/>
      <c r="B54" s="66" t="s">
        <v>76</v>
      </c>
      <c r="C54" s="85">
        <v>200</v>
      </c>
      <c r="D54" s="85">
        <v>130</v>
      </c>
      <c r="E54" s="85">
        <v>100</v>
      </c>
      <c r="F54" s="228"/>
      <c r="G54" s="66" t="s">
        <v>76</v>
      </c>
      <c r="H54" s="87">
        <v>600</v>
      </c>
      <c r="I54" s="87">
        <f>H54*65%</f>
        <v>390</v>
      </c>
      <c r="J54" s="87">
        <f>H54*50%</f>
        <v>300</v>
      </c>
      <c r="K54" s="87">
        <f t="shared" si="0"/>
        <v>420</v>
      </c>
      <c r="L54" s="87">
        <f t="shared" si="0"/>
        <v>273</v>
      </c>
      <c r="M54" s="87">
        <f t="shared" si="0"/>
        <v>210</v>
      </c>
    </row>
    <row r="55" spans="1:13" ht="33" x14ac:dyDescent="0.25">
      <c r="A55" s="64" t="s">
        <v>104</v>
      </c>
      <c r="B55" s="66" t="s">
        <v>27</v>
      </c>
      <c r="C55" s="85">
        <v>120</v>
      </c>
      <c r="D55" s="85">
        <v>100</v>
      </c>
      <c r="E55" s="85">
        <v>90</v>
      </c>
      <c r="F55" s="64" t="s">
        <v>104</v>
      </c>
      <c r="G55" s="66" t="s">
        <v>27</v>
      </c>
      <c r="H55" s="87">
        <f>C55*1.1</f>
        <v>132</v>
      </c>
      <c r="I55" s="87">
        <f>D55*1.1</f>
        <v>110.00000000000001</v>
      </c>
      <c r="J55" s="87">
        <f>E55*1.1</f>
        <v>99.000000000000014</v>
      </c>
      <c r="K55" s="87">
        <f t="shared" si="0"/>
        <v>92.399999999999991</v>
      </c>
      <c r="L55" s="87">
        <f t="shared" si="0"/>
        <v>77</v>
      </c>
      <c r="M55" s="87">
        <f t="shared" si="0"/>
        <v>69.300000000000011</v>
      </c>
    </row>
    <row r="56" spans="1:13" ht="16.5" x14ac:dyDescent="0.25">
      <c r="A56" s="60">
        <v>3</v>
      </c>
      <c r="B56" s="62" t="s">
        <v>105</v>
      </c>
      <c r="C56" s="85"/>
      <c r="D56" s="85"/>
      <c r="E56" s="85"/>
      <c r="F56" s="60">
        <v>3</v>
      </c>
      <c r="G56" s="62" t="s">
        <v>105</v>
      </c>
      <c r="H56" s="85"/>
      <c r="I56" s="85"/>
      <c r="J56" s="85"/>
      <c r="K56" s="87"/>
      <c r="L56" s="87"/>
      <c r="M56" s="87"/>
    </row>
    <row r="57" spans="1:13" ht="53.25" customHeight="1" x14ac:dyDescent="0.25">
      <c r="A57" s="64" t="s">
        <v>18</v>
      </c>
      <c r="B57" s="62" t="s">
        <v>1012</v>
      </c>
      <c r="C57" s="85">
        <v>6700</v>
      </c>
      <c r="D57" s="85">
        <f>C57*50%</f>
        <v>3350</v>
      </c>
      <c r="E57" s="85">
        <v>1500</v>
      </c>
      <c r="F57" s="64" t="s">
        <v>18</v>
      </c>
      <c r="G57" s="62" t="s">
        <v>1012</v>
      </c>
      <c r="H57" s="87">
        <v>7400</v>
      </c>
      <c r="I57" s="87">
        <f>D57*1.1</f>
        <v>3685.0000000000005</v>
      </c>
      <c r="J57" s="87">
        <f>E57*1.1</f>
        <v>1650.0000000000002</v>
      </c>
      <c r="K57" s="87">
        <f t="shared" si="0"/>
        <v>5180</v>
      </c>
      <c r="L57" s="87">
        <f t="shared" si="0"/>
        <v>2579.5</v>
      </c>
      <c r="M57" s="87">
        <f t="shared" si="0"/>
        <v>1155</v>
      </c>
    </row>
    <row r="58" spans="1:13" ht="53.25" customHeight="1" x14ac:dyDescent="0.25">
      <c r="A58" s="64" t="s">
        <v>19</v>
      </c>
      <c r="B58" s="62" t="s">
        <v>1013</v>
      </c>
      <c r="C58" s="85">
        <v>8200</v>
      </c>
      <c r="D58" s="85">
        <v>4000</v>
      </c>
      <c r="E58" s="85">
        <v>2000</v>
      </c>
      <c r="F58" s="64" t="s">
        <v>19</v>
      </c>
      <c r="G58" s="62" t="s">
        <v>1013</v>
      </c>
      <c r="H58" s="87">
        <f t="shared" ref="H58:J71" si="4">C58*1.1</f>
        <v>9020</v>
      </c>
      <c r="I58" s="87">
        <f t="shared" si="4"/>
        <v>4400</v>
      </c>
      <c r="J58" s="87">
        <f t="shared" si="4"/>
        <v>2200</v>
      </c>
      <c r="K58" s="87">
        <f t="shared" si="0"/>
        <v>6314</v>
      </c>
      <c r="L58" s="87">
        <f t="shared" si="0"/>
        <v>3080</v>
      </c>
      <c r="M58" s="87">
        <f t="shared" si="0"/>
        <v>1540</v>
      </c>
    </row>
    <row r="59" spans="1:13" ht="53.25" customHeight="1" x14ac:dyDescent="0.25">
      <c r="A59" s="64" t="s">
        <v>20</v>
      </c>
      <c r="B59" s="62" t="s">
        <v>1014</v>
      </c>
      <c r="C59" s="85">
        <v>9500</v>
      </c>
      <c r="D59" s="85">
        <v>5000</v>
      </c>
      <c r="E59" s="85">
        <v>3500</v>
      </c>
      <c r="F59" s="64" t="s">
        <v>20</v>
      </c>
      <c r="G59" s="62" t="s">
        <v>1014</v>
      </c>
      <c r="H59" s="87">
        <v>10500</v>
      </c>
      <c r="I59" s="87">
        <f t="shared" si="4"/>
        <v>5500</v>
      </c>
      <c r="J59" s="87">
        <f t="shared" si="4"/>
        <v>3850.0000000000005</v>
      </c>
      <c r="K59" s="87">
        <f t="shared" si="0"/>
        <v>7349.9999999999991</v>
      </c>
      <c r="L59" s="87">
        <f t="shared" si="0"/>
        <v>3849.9999999999995</v>
      </c>
      <c r="M59" s="87">
        <f t="shared" si="0"/>
        <v>2695</v>
      </c>
    </row>
    <row r="60" spans="1:13" ht="53.25" customHeight="1" x14ac:dyDescent="0.25">
      <c r="A60" s="64" t="s">
        <v>21</v>
      </c>
      <c r="B60" s="62" t="s">
        <v>1015</v>
      </c>
      <c r="C60" s="85">
        <v>8700</v>
      </c>
      <c r="D60" s="85">
        <v>4250</v>
      </c>
      <c r="E60" s="85">
        <v>2000</v>
      </c>
      <c r="F60" s="64" t="s">
        <v>21</v>
      </c>
      <c r="G60" s="62" t="s">
        <v>1015</v>
      </c>
      <c r="H60" s="87">
        <f t="shared" si="4"/>
        <v>9570</v>
      </c>
      <c r="I60" s="87">
        <f t="shared" si="4"/>
        <v>4675</v>
      </c>
      <c r="J60" s="87">
        <f t="shared" si="4"/>
        <v>2200</v>
      </c>
      <c r="K60" s="87">
        <f t="shared" si="0"/>
        <v>6699</v>
      </c>
      <c r="L60" s="87">
        <f t="shared" si="0"/>
        <v>3272.5</v>
      </c>
      <c r="M60" s="87">
        <f t="shared" si="0"/>
        <v>1540</v>
      </c>
    </row>
    <row r="61" spans="1:13" ht="48.75" customHeight="1" x14ac:dyDescent="0.25">
      <c r="A61" s="64" t="s">
        <v>22</v>
      </c>
      <c r="B61" s="62" t="s">
        <v>1016</v>
      </c>
      <c r="C61" s="85">
        <v>8700</v>
      </c>
      <c r="D61" s="85">
        <v>4250</v>
      </c>
      <c r="E61" s="85">
        <v>2000</v>
      </c>
      <c r="F61" s="64" t="s">
        <v>22</v>
      </c>
      <c r="G61" s="62" t="s">
        <v>1016</v>
      </c>
      <c r="H61" s="87">
        <f t="shared" si="4"/>
        <v>9570</v>
      </c>
      <c r="I61" s="87">
        <f t="shared" si="4"/>
        <v>4675</v>
      </c>
      <c r="J61" s="87">
        <f t="shared" si="4"/>
        <v>2200</v>
      </c>
      <c r="K61" s="87">
        <f t="shared" si="0"/>
        <v>6699</v>
      </c>
      <c r="L61" s="87">
        <f t="shared" si="0"/>
        <v>3272.5</v>
      </c>
      <c r="M61" s="87">
        <f t="shared" si="0"/>
        <v>1540</v>
      </c>
    </row>
    <row r="62" spans="1:13" ht="49.5" x14ac:dyDescent="0.25">
      <c r="A62" s="64" t="s">
        <v>23</v>
      </c>
      <c r="B62" s="66" t="s">
        <v>106</v>
      </c>
      <c r="C62" s="94">
        <v>5500</v>
      </c>
      <c r="D62" s="95"/>
      <c r="E62" s="96"/>
      <c r="F62" s="64" t="s">
        <v>23</v>
      </c>
      <c r="G62" s="66" t="s">
        <v>106</v>
      </c>
      <c r="H62" s="87">
        <v>6060</v>
      </c>
      <c r="I62" s="87"/>
      <c r="J62" s="87"/>
      <c r="K62" s="87">
        <f t="shared" si="0"/>
        <v>4242</v>
      </c>
      <c r="L62" s="87"/>
      <c r="M62" s="87"/>
    </row>
    <row r="63" spans="1:13" ht="70.5" customHeight="1" x14ac:dyDescent="0.25">
      <c r="A63" s="64" t="s">
        <v>24</v>
      </c>
      <c r="B63" s="62" t="s">
        <v>1017</v>
      </c>
      <c r="C63" s="85">
        <v>6000</v>
      </c>
      <c r="D63" s="85">
        <f>C63*50%</f>
        <v>3000</v>
      </c>
      <c r="E63" s="85">
        <v>1500</v>
      </c>
      <c r="F63" s="64" t="s">
        <v>24</v>
      </c>
      <c r="G63" s="62" t="s">
        <v>1017</v>
      </c>
      <c r="H63" s="87">
        <f t="shared" si="4"/>
        <v>6600.0000000000009</v>
      </c>
      <c r="I63" s="87">
        <f t="shared" si="4"/>
        <v>3300.0000000000005</v>
      </c>
      <c r="J63" s="87">
        <f t="shared" si="4"/>
        <v>1650.0000000000002</v>
      </c>
      <c r="K63" s="87">
        <f t="shared" si="0"/>
        <v>4620</v>
      </c>
      <c r="L63" s="87">
        <f t="shared" si="0"/>
        <v>2310</v>
      </c>
      <c r="M63" s="87">
        <f t="shared" si="0"/>
        <v>1155</v>
      </c>
    </row>
    <row r="64" spans="1:13" ht="64.5" customHeight="1" x14ac:dyDescent="0.25">
      <c r="A64" s="64" t="s">
        <v>26</v>
      </c>
      <c r="B64" s="62" t="s">
        <v>1018</v>
      </c>
      <c r="C64" s="85">
        <v>4500</v>
      </c>
      <c r="D64" s="85">
        <f>C64*50%</f>
        <v>2250</v>
      </c>
      <c r="E64" s="85">
        <f>C64*30%</f>
        <v>1350</v>
      </c>
      <c r="F64" s="64" t="s">
        <v>26</v>
      </c>
      <c r="G64" s="62" t="s">
        <v>1018</v>
      </c>
      <c r="H64" s="87">
        <v>4960</v>
      </c>
      <c r="I64" s="87">
        <f t="shared" si="4"/>
        <v>2475</v>
      </c>
      <c r="J64" s="87">
        <f t="shared" si="4"/>
        <v>1485.0000000000002</v>
      </c>
      <c r="K64" s="87">
        <f t="shared" si="0"/>
        <v>3472</v>
      </c>
      <c r="L64" s="87">
        <f t="shared" si="0"/>
        <v>1732.5</v>
      </c>
      <c r="M64" s="87">
        <f t="shared" si="0"/>
        <v>1039.5</v>
      </c>
    </row>
    <row r="65" spans="1:13" ht="51" customHeight="1" x14ac:dyDescent="0.25">
      <c r="A65" s="64" t="s">
        <v>107</v>
      </c>
      <c r="B65" s="62" t="s">
        <v>1019</v>
      </c>
      <c r="C65" s="85">
        <v>2200</v>
      </c>
      <c r="D65" s="85">
        <v>1200</v>
      </c>
      <c r="E65" s="85">
        <v>600</v>
      </c>
      <c r="F65" s="64" t="s">
        <v>107</v>
      </c>
      <c r="G65" s="62" t="s">
        <v>1019</v>
      </c>
      <c r="H65" s="87">
        <f t="shared" si="4"/>
        <v>2420</v>
      </c>
      <c r="I65" s="87">
        <f t="shared" si="4"/>
        <v>1320</v>
      </c>
      <c r="J65" s="87">
        <f t="shared" si="4"/>
        <v>660</v>
      </c>
      <c r="K65" s="87">
        <f t="shared" si="0"/>
        <v>1694</v>
      </c>
      <c r="L65" s="87">
        <f t="shared" si="0"/>
        <v>923.99999999999989</v>
      </c>
      <c r="M65" s="87">
        <f t="shared" si="0"/>
        <v>461.99999999999994</v>
      </c>
    </row>
    <row r="66" spans="1:13" ht="51" customHeight="1" x14ac:dyDescent="0.25">
      <c r="A66" s="64" t="s">
        <v>108</v>
      </c>
      <c r="B66" s="62" t="s">
        <v>1020</v>
      </c>
      <c r="C66" s="85">
        <v>2800</v>
      </c>
      <c r="D66" s="85">
        <v>1550</v>
      </c>
      <c r="E66" s="85">
        <v>800</v>
      </c>
      <c r="F66" s="64" t="s">
        <v>108</v>
      </c>
      <c r="G66" s="62" t="s">
        <v>1020</v>
      </c>
      <c r="H66" s="87">
        <f t="shared" si="4"/>
        <v>3080.0000000000005</v>
      </c>
      <c r="I66" s="87">
        <f t="shared" si="4"/>
        <v>1705.0000000000002</v>
      </c>
      <c r="J66" s="87">
        <f t="shared" si="4"/>
        <v>880.00000000000011</v>
      </c>
      <c r="K66" s="87">
        <f t="shared" si="0"/>
        <v>2156</v>
      </c>
      <c r="L66" s="87">
        <f t="shared" si="0"/>
        <v>1193.5</v>
      </c>
      <c r="M66" s="87">
        <f t="shared" si="0"/>
        <v>616</v>
      </c>
    </row>
    <row r="67" spans="1:13" ht="51" customHeight="1" x14ac:dyDescent="0.25">
      <c r="A67" s="64" t="s">
        <v>109</v>
      </c>
      <c r="B67" s="62" t="s">
        <v>1021</v>
      </c>
      <c r="C67" s="85">
        <v>220</v>
      </c>
      <c r="D67" s="85">
        <v>150</v>
      </c>
      <c r="E67" s="85">
        <v>120</v>
      </c>
      <c r="F67" s="64" t="s">
        <v>109</v>
      </c>
      <c r="G67" s="62" t="s">
        <v>1021</v>
      </c>
      <c r="H67" s="87">
        <v>690</v>
      </c>
      <c r="I67" s="87">
        <f>H67*68%</f>
        <v>469.20000000000005</v>
      </c>
      <c r="J67" s="87">
        <f>H67*55%</f>
        <v>379.50000000000006</v>
      </c>
      <c r="K67" s="87">
        <f t="shared" si="0"/>
        <v>482.99999999999994</v>
      </c>
      <c r="L67" s="87">
        <f t="shared" si="0"/>
        <v>328.44</v>
      </c>
      <c r="M67" s="87">
        <f t="shared" si="0"/>
        <v>265.65000000000003</v>
      </c>
    </row>
    <row r="68" spans="1:13" ht="35.25" customHeight="1" x14ac:dyDescent="0.25">
      <c r="A68" s="228" t="s">
        <v>110</v>
      </c>
      <c r="B68" s="66" t="s">
        <v>74</v>
      </c>
      <c r="C68" s="85">
        <v>280</v>
      </c>
      <c r="D68" s="85">
        <v>180</v>
      </c>
      <c r="E68" s="85">
        <v>140</v>
      </c>
      <c r="F68" s="228" t="s">
        <v>110</v>
      </c>
      <c r="G68" s="66" t="s">
        <v>74</v>
      </c>
      <c r="H68" s="87">
        <v>680</v>
      </c>
      <c r="I68" s="87">
        <f>H68*64%</f>
        <v>435.2</v>
      </c>
      <c r="J68" s="87">
        <f>H68*50%</f>
        <v>340</v>
      </c>
      <c r="K68" s="87">
        <f t="shared" si="0"/>
        <v>475.99999999999994</v>
      </c>
      <c r="L68" s="87">
        <f t="shared" si="0"/>
        <v>304.64</v>
      </c>
      <c r="M68" s="87">
        <f t="shared" si="0"/>
        <v>237.99999999999997</v>
      </c>
    </row>
    <row r="69" spans="1:13" ht="35.25" customHeight="1" x14ac:dyDescent="0.25">
      <c r="A69" s="228"/>
      <c r="B69" s="66" t="s">
        <v>75</v>
      </c>
      <c r="C69" s="85">
        <v>225</v>
      </c>
      <c r="D69" s="85">
        <v>150</v>
      </c>
      <c r="E69" s="85">
        <v>120</v>
      </c>
      <c r="F69" s="228"/>
      <c r="G69" s="66" t="s">
        <v>75</v>
      </c>
      <c r="H69" s="87">
        <v>619</v>
      </c>
      <c r="I69" s="87">
        <f>H69*67%</f>
        <v>414.73</v>
      </c>
      <c r="J69" s="87">
        <f>H69*53%</f>
        <v>328.07</v>
      </c>
      <c r="K69" s="87">
        <f t="shared" si="0"/>
        <v>433.29999999999995</v>
      </c>
      <c r="L69" s="87">
        <f t="shared" si="0"/>
        <v>290.31099999999998</v>
      </c>
      <c r="M69" s="87">
        <f t="shared" si="0"/>
        <v>229.64899999999997</v>
      </c>
    </row>
    <row r="70" spans="1:13" ht="35.25" customHeight="1" x14ac:dyDescent="0.25">
      <c r="A70" s="228"/>
      <c r="B70" s="66" t="s">
        <v>76</v>
      </c>
      <c r="C70" s="85">
        <v>200</v>
      </c>
      <c r="D70" s="85">
        <v>140</v>
      </c>
      <c r="E70" s="85">
        <v>100</v>
      </c>
      <c r="F70" s="228"/>
      <c r="G70" s="66" t="s">
        <v>76</v>
      </c>
      <c r="H70" s="87">
        <v>580</v>
      </c>
      <c r="I70" s="87">
        <f>H70*70%</f>
        <v>406</v>
      </c>
      <c r="J70" s="87">
        <f>H70*50%</f>
        <v>290</v>
      </c>
      <c r="K70" s="87">
        <f t="shared" si="0"/>
        <v>406</v>
      </c>
      <c r="L70" s="87">
        <f t="shared" si="0"/>
        <v>284.2</v>
      </c>
      <c r="M70" s="87">
        <f t="shared" si="0"/>
        <v>203</v>
      </c>
    </row>
    <row r="71" spans="1:13" ht="33" x14ac:dyDescent="0.25">
      <c r="A71" s="64" t="s">
        <v>111</v>
      </c>
      <c r="B71" s="66" t="s">
        <v>27</v>
      </c>
      <c r="C71" s="85">
        <v>120</v>
      </c>
      <c r="D71" s="85">
        <v>100</v>
      </c>
      <c r="E71" s="85">
        <v>90</v>
      </c>
      <c r="F71" s="64" t="s">
        <v>111</v>
      </c>
      <c r="G71" s="66" t="s">
        <v>27</v>
      </c>
      <c r="H71" s="87">
        <f t="shared" si="4"/>
        <v>132</v>
      </c>
      <c r="I71" s="87">
        <f t="shared" si="4"/>
        <v>110.00000000000001</v>
      </c>
      <c r="J71" s="87">
        <f t="shared" si="4"/>
        <v>99.000000000000014</v>
      </c>
      <c r="K71" s="87">
        <f t="shared" si="0"/>
        <v>92.399999999999991</v>
      </c>
      <c r="L71" s="87">
        <f t="shared" si="0"/>
        <v>77</v>
      </c>
      <c r="M71" s="87">
        <f t="shared" si="0"/>
        <v>69.300000000000011</v>
      </c>
    </row>
    <row r="72" spans="1:13" s="23" customFormat="1" ht="16.5" x14ac:dyDescent="0.25">
      <c r="A72" s="60">
        <v>4</v>
      </c>
      <c r="B72" s="62" t="s">
        <v>112</v>
      </c>
      <c r="C72" s="85"/>
      <c r="D72" s="85"/>
      <c r="E72" s="85"/>
      <c r="F72" s="60">
        <v>4</v>
      </c>
      <c r="G72" s="62" t="s">
        <v>112</v>
      </c>
      <c r="H72" s="85"/>
      <c r="I72" s="85"/>
      <c r="J72" s="85"/>
      <c r="K72" s="87"/>
      <c r="L72" s="87"/>
      <c r="M72" s="87"/>
    </row>
    <row r="73" spans="1:13" ht="75.75" customHeight="1" x14ac:dyDescent="0.25">
      <c r="A73" s="64" t="s">
        <v>10</v>
      </c>
      <c r="B73" s="88" t="s">
        <v>1022</v>
      </c>
      <c r="C73" s="97">
        <v>4500</v>
      </c>
      <c r="D73" s="97">
        <v>2300</v>
      </c>
      <c r="E73" s="97">
        <v>1350</v>
      </c>
      <c r="F73" s="64" t="s">
        <v>10</v>
      </c>
      <c r="G73" s="88" t="s">
        <v>1023</v>
      </c>
      <c r="H73" s="98">
        <v>4960</v>
      </c>
      <c r="I73" s="98">
        <f>D73*1.1</f>
        <v>2530</v>
      </c>
      <c r="J73" s="98">
        <f>E73*1.1</f>
        <v>1485.0000000000002</v>
      </c>
      <c r="K73" s="87">
        <f t="shared" ref="K73:M136" si="5">H73*$L$3</f>
        <v>3472</v>
      </c>
      <c r="L73" s="87">
        <f t="shared" si="5"/>
        <v>1771</v>
      </c>
      <c r="M73" s="87">
        <f t="shared" si="5"/>
        <v>1039.5</v>
      </c>
    </row>
    <row r="74" spans="1:13" ht="78" customHeight="1" x14ac:dyDescent="0.25">
      <c r="A74" s="64" t="s">
        <v>11</v>
      </c>
      <c r="B74" s="62" t="s">
        <v>1024</v>
      </c>
      <c r="C74" s="85">
        <v>4000</v>
      </c>
      <c r="D74" s="85">
        <v>2500</v>
      </c>
      <c r="E74" s="85">
        <v>1200</v>
      </c>
      <c r="F74" s="64" t="s">
        <v>11</v>
      </c>
      <c r="G74" s="62" t="s">
        <v>1025</v>
      </c>
      <c r="H74" s="98">
        <v>4440</v>
      </c>
      <c r="I74" s="98">
        <f>D74*1.11</f>
        <v>2775.0000000000005</v>
      </c>
      <c r="J74" s="98">
        <f>E74*1.11</f>
        <v>1332.0000000000002</v>
      </c>
      <c r="K74" s="87">
        <f t="shared" si="5"/>
        <v>3108</v>
      </c>
      <c r="L74" s="87">
        <f t="shared" si="5"/>
        <v>1942.5000000000002</v>
      </c>
      <c r="M74" s="87">
        <f t="shared" si="5"/>
        <v>932.40000000000009</v>
      </c>
    </row>
    <row r="75" spans="1:13" ht="53.25" customHeight="1" x14ac:dyDescent="0.25">
      <c r="A75" s="64" t="s">
        <v>29</v>
      </c>
      <c r="B75" s="62" t="s">
        <v>1026</v>
      </c>
      <c r="C75" s="85">
        <v>3200</v>
      </c>
      <c r="D75" s="85">
        <v>1850</v>
      </c>
      <c r="E75" s="85">
        <v>900</v>
      </c>
      <c r="F75" s="64" t="s">
        <v>29</v>
      </c>
      <c r="G75" s="62" t="s">
        <v>1027</v>
      </c>
      <c r="H75" s="98">
        <f t="shared" ref="H75:J78" si="6">C75*1.1</f>
        <v>3520.0000000000005</v>
      </c>
      <c r="I75" s="98">
        <f t="shared" si="6"/>
        <v>2035.0000000000002</v>
      </c>
      <c r="J75" s="98">
        <f t="shared" si="6"/>
        <v>990.00000000000011</v>
      </c>
      <c r="K75" s="87">
        <f t="shared" si="5"/>
        <v>2464</v>
      </c>
      <c r="L75" s="87">
        <f t="shared" si="5"/>
        <v>1424.5</v>
      </c>
      <c r="M75" s="87">
        <f t="shared" si="5"/>
        <v>693</v>
      </c>
    </row>
    <row r="76" spans="1:13" ht="48.75" customHeight="1" x14ac:dyDescent="0.25">
      <c r="A76" s="64" t="s">
        <v>30</v>
      </c>
      <c r="B76" s="62" t="s">
        <v>1028</v>
      </c>
      <c r="C76" s="85">
        <v>2200</v>
      </c>
      <c r="D76" s="85">
        <v>1200</v>
      </c>
      <c r="E76" s="85">
        <v>600</v>
      </c>
      <c r="F76" s="64" t="s">
        <v>30</v>
      </c>
      <c r="G76" s="62" t="s">
        <v>1029</v>
      </c>
      <c r="H76" s="98">
        <v>2450</v>
      </c>
      <c r="I76" s="98">
        <f>D76*1.11</f>
        <v>1332.0000000000002</v>
      </c>
      <c r="J76" s="98">
        <f>E76*1.11</f>
        <v>666.00000000000011</v>
      </c>
      <c r="K76" s="87">
        <f t="shared" si="5"/>
        <v>1715</v>
      </c>
      <c r="L76" s="87">
        <f t="shared" si="5"/>
        <v>932.40000000000009</v>
      </c>
      <c r="M76" s="87">
        <f t="shared" si="5"/>
        <v>466.20000000000005</v>
      </c>
    </row>
    <row r="77" spans="1:13" ht="43.5" customHeight="1" x14ac:dyDescent="0.25">
      <c r="A77" s="64" t="s">
        <v>31</v>
      </c>
      <c r="B77" s="62" t="s">
        <v>1030</v>
      </c>
      <c r="C77" s="85">
        <v>1000</v>
      </c>
      <c r="D77" s="85">
        <v>550</v>
      </c>
      <c r="E77" s="85">
        <v>350</v>
      </c>
      <c r="F77" s="64" t="s">
        <v>31</v>
      </c>
      <c r="G77" s="62" t="s">
        <v>1030</v>
      </c>
      <c r="H77" s="98">
        <f t="shared" si="6"/>
        <v>1100</v>
      </c>
      <c r="I77" s="98">
        <f t="shared" si="6"/>
        <v>605</v>
      </c>
      <c r="J77" s="98">
        <f t="shared" si="6"/>
        <v>385.00000000000006</v>
      </c>
      <c r="K77" s="87">
        <f t="shared" si="5"/>
        <v>770</v>
      </c>
      <c r="L77" s="87">
        <f t="shared" si="5"/>
        <v>423.5</v>
      </c>
      <c r="M77" s="87">
        <f t="shared" si="5"/>
        <v>269.5</v>
      </c>
    </row>
    <row r="78" spans="1:13" ht="63.75" customHeight="1" x14ac:dyDescent="0.25">
      <c r="A78" s="64" t="s">
        <v>32</v>
      </c>
      <c r="B78" s="62" t="s">
        <v>113</v>
      </c>
      <c r="C78" s="85">
        <v>3800</v>
      </c>
      <c r="D78" s="85">
        <v>2200</v>
      </c>
      <c r="E78" s="85">
        <v>1000</v>
      </c>
      <c r="F78" s="64" t="s">
        <v>32</v>
      </c>
      <c r="G78" s="62" t="s">
        <v>114</v>
      </c>
      <c r="H78" s="98">
        <f t="shared" si="6"/>
        <v>4180</v>
      </c>
      <c r="I78" s="98">
        <f t="shared" si="6"/>
        <v>2420</v>
      </c>
      <c r="J78" s="98">
        <f t="shared" si="6"/>
        <v>1100</v>
      </c>
      <c r="K78" s="87">
        <f t="shared" si="5"/>
        <v>2926</v>
      </c>
      <c r="L78" s="87">
        <f t="shared" si="5"/>
        <v>1694</v>
      </c>
      <c r="M78" s="87">
        <f t="shared" si="5"/>
        <v>770</v>
      </c>
    </row>
    <row r="79" spans="1:13" ht="51" customHeight="1" x14ac:dyDescent="0.25">
      <c r="A79" s="64" t="s">
        <v>33</v>
      </c>
      <c r="B79" s="62" t="s">
        <v>1031</v>
      </c>
      <c r="C79" s="85">
        <v>2650</v>
      </c>
      <c r="D79" s="85">
        <v>1500</v>
      </c>
      <c r="E79" s="85">
        <v>750</v>
      </c>
      <c r="F79" s="64" t="s">
        <v>33</v>
      </c>
      <c r="G79" s="62" t="s">
        <v>1032</v>
      </c>
      <c r="H79" s="98">
        <v>2940</v>
      </c>
      <c r="I79" s="98">
        <f>D79*1.11</f>
        <v>1665.0000000000002</v>
      </c>
      <c r="J79" s="98">
        <f>E79*1.11</f>
        <v>832.50000000000011</v>
      </c>
      <c r="K79" s="87">
        <f t="shared" si="5"/>
        <v>2058</v>
      </c>
      <c r="L79" s="87">
        <f t="shared" si="5"/>
        <v>1165.5</v>
      </c>
      <c r="M79" s="87">
        <f t="shared" si="5"/>
        <v>582.75</v>
      </c>
    </row>
    <row r="80" spans="1:13" ht="36.75" customHeight="1" x14ac:dyDescent="0.25">
      <c r="A80" s="228" t="s">
        <v>115</v>
      </c>
      <c r="B80" s="66" t="s">
        <v>74</v>
      </c>
      <c r="C80" s="85">
        <v>270</v>
      </c>
      <c r="D80" s="85">
        <v>165</v>
      </c>
      <c r="E80" s="85">
        <v>130</v>
      </c>
      <c r="F80" s="228" t="s">
        <v>115</v>
      </c>
      <c r="G80" s="66" t="s">
        <v>74</v>
      </c>
      <c r="H80" s="87">
        <v>730</v>
      </c>
      <c r="I80" s="87">
        <f>H80*61%</f>
        <v>445.3</v>
      </c>
      <c r="J80" s="87">
        <f>H80*48%</f>
        <v>350.4</v>
      </c>
      <c r="K80" s="87">
        <f t="shared" si="5"/>
        <v>510.99999999999994</v>
      </c>
      <c r="L80" s="87">
        <f t="shared" si="5"/>
        <v>311.70999999999998</v>
      </c>
      <c r="M80" s="87">
        <f t="shared" si="5"/>
        <v>245.27999999999997</v>
      </c>
    </row>
    <row r="81" spans="1:13" ht="36.75" customHeight="1" x14ac:dyDescent="0.25">
      <c r="A81" s="228"/>
      <c r="B81" s="66" t="s">
        <v>75</v>
      </c>
      <c r="C81" s="85">
        <v>220</v>
      </c>
      <c r="D81" s="85">
        <v>150</v>
      </c>
      <c r="E81" s="85">
        <v>120</v>
      </c>
      <c r="F81" s="228"/>
      <c r="G81" s="66" t="s">
        <v>75</v>
      </c>
      <c r="H81" s="87">
        <v>673</v>
      </c>
      <c r="I81" s="87">
        <f>H81*68%</f>
        <v>457.64000000000004</v>
      </c>
      <c r="J81" s="87">
        <f>H81*54%</f>
        <v>363.42</v>
      </c>
      <c r="K81" s="87">
        <f t="shared" si="5"/>
        <v>471.09999999999997</v>
      </c>
      <c r="L81" s="87">
        <f t="shared" si="5"/>
        <v>320.34800000000001</v>
      </c>
      <c r="M81" s="87">
        <f t="shared" si="5"/>
        <v>254.39400000000001</v>
      </c>
    </row>
    <row r="82" spans="1:13" ht="36.75" customHeight="1" x14ac:dyDescent="0.25">
      <c r="A82" s="228"/>
      <c r="B82" s="66" t="s">
        <v>76</v>
      </c>
      <c r="C82" s="85">
        <v>200</v>
      </c>
      <c r="D82" s="85">
        <v>130</v>
      </c>
      <c r="E82" s="85">
        <v>100</v>
      </c>
      <c r="F82" s="228"/>
      <c r="G82" s="66" t="s">
        <v>76</v>
      </c>
      <c r="H82" s="87">
        <v>501</v>
      </c>
      <c r="I82" s="87">
        <f>H82*65%</f>
        <v>325.65000000000003</v>
      </c>
      <c r="J82" s="87">
        <f>H82*50%</f>
        <v>250.5</v>
      </c>
      <c r="K82" s="87">
        <f t="shared" si="5"/>
        <v>350.7</v>
      </c>
      <c r="L82" s="87">
        <f t="shared" si="5"/>
        <v>227.95500000000001</v>
      </c>
      <c r="M82" s="87">
        <f t="shared" si="5"/>
        <v>175.35</v>
      </c>
    </row>
    <row r="83" spans="1:13" ht="33" x14ac:dyDescent="0.25">
      <c r="A83" s="64" t="s">
        <v>116</v>
      </c>
      <c r="B83" s="66" t="s">
        <v>27</v>
      </c>
      <c r="C83" s="85">
        <v>120</v>
      </c>
      <c r="D83" s="85">
        <v>100</v>
      </c>
      <c r="E83" s="85">
        <v>90</v>
      </c>
      <c r="F83" s="64" t="s">
        <v>116</v>
      </c>
      <c r="G83" s="66" t="s">
        <v>27</v>
      </c>
      <c r="H83" s="98">
        <f>C83*1.1</f>
        <v>132</v>
      </c>
      <c r="I83" s="98">
        <f>D83*1.1</f>
        <v>110.00000000000001</v>
      </c>
      <c r="J83" s="98">
        <f>E83*1.1</f>
        <v>99.000000000000014</v>
      </c>
      <c r="K83" s="87">
        <f t="shared" si="5"/>
        <v>92.399999999999991</v>
      </c>
      <c r="L83" s="87">
        <f t="shared" si="5"/>
        <v>77</v>
      </c>
      <c r="M83" s="87">
        <f t="shared" si="5"/>
        <v>69.300000000000011</v>
      </c>
    </row>
    <row r="84" spans="1:13" ht="16.5" x14ac:dyDescent="0.25">
      <c r="A84" s="60">
        <v>5</v>
      </c>
      <c r="B84" s="62" t="s">
        <v>117</v>
      </c>
      <c r="C84" s="85"/>
      <c r="D84" s="85"/>
      <c r="E84" s="85"/>
      <c r="F84" s="60">
        <v>5</v>
      </c>
      <c r="G84" s="62" t="s">
        <v>117</v>
      </c>
      <c r="H84" s="85"/>
      <c r="I84" s="85"/>
      <c r="J84" s="85"/>
      <c r="K84" s="87"/>
      <c r="L84" s="87"/>
      <c r="M84" s="87"/>
    </row>
    <row r="85" spans="1:13" ht="44.25" customHeight="1" x14ac:dyDescent="0.25">
      <c r="A85" s="64" t="s">
        <v>35</v>
      </c>
      <c r="B85" s="62" t="s">
        <v>1033</v>
      </c>
      <c r="C85" s="85">
        <v>1800</v>
      </c>
      <c r="D85" s="85">
        <v>1000</v>
      </c>
      <c r="E85" s="85">
        <v>550</v>
      </c>
      <c r="F85" s="64" t="s">
        <v>35</v>
      </c>
      <c r="G85" s="62" t="s">
        <v>1033</v>
      </c>
      <c r="H85" s="85">
        <f t="shared" ref="H85:J89" si="7">C85*1.1</f>
        <v>1980.0000000000002</v>
      </c>
      <c r="I85" s="85">
        <f t="shared" si="7"/>
        <v>1100</v>
      </c>
      <c r="J85" s="85">
        <f t="shared" si="7"/>
        <v>605</v>
      </c>
      <c r="K85" s="87">
        <f t="shared" si="5"/>
        <v>1386</v>
      </c>
      <c r="L85" s="87">
        <f t="shared" si="5"/>
        <v>770</v>
      </c>
      <c r="M85" s="87">
        <f t="shared" si="5"/>
        <v>423.5</v>
      </c>
    </row>
    <row r="86" spans="1:13" ht="57.75" customHeight="1" x14ac:dyDescent="0.25">
      <c r="A86" s="64" t="s">
        <v>36</v>
      </c>
      <c r="B86" s="62" t="s">
        <v>1034</v>
      </c>
      <c r="C86" s="85">
        <v>1700</v>
      </c>
      <c r="D86" s="85">
        <v>850</v>
      </c>
      <c r="E86" s="85">
        <v>500</v>
      </c>
      <c r="F86" s="64" t="s">
        <v>36</v>
      </c>
      <c r="G86" s="62" t="s">
        <v>1035</v>
      </c>
      <c r="H86" s="85">
        <v>2290</v>
      </c>
      <c r="I86" s="85">
        <f>H86*50%</f>
        <v>1145</v>
      </c>
      <c r="J86" s="85">
        <f>H86*29%</f>
        <v>664.09999999999991</v>
      </c>
      <c r="K86" s="87">
        <f t="shared" si="5"/>
        <v>1603</v>
      </c>
      <c r="L86" s="87">
        <f t="shared" si="5"/>
        <v>801.5</v>
      </c>
      <c r="M86" s="87">
        <f t="shared" si="5"/>
        <v>464.86999999999989</v>
      </c>
    </row>
    <row r="87" spans="1:13" ht="87" customHeight="1" x14ac:dyDescent="0.25">
      <c r="A87" s="64" t="s">
        <v>37</v>
      </c>
      <c r="B87" s="62" t="s">
        <v>1036</v>
      </c>
      <c r="C87" s="85">
        <v>1200</v>
      </c>
      <c r="D87" s="85">
        <v>680</v>
      </c>
      <c r="E87" s="85">
        <v>360</v>
      </c>
      <c r="F87" s="64" t="s">
        <v>37</v>
      </c>
      <c r="G87" s="62" t="s">
        <v>1036</v>
      </c>
      <c r="H87" s="85">
        <v>1700</v>
      </c>
      <c r="I87" s="85">
        <f>H87*57%</f>
        <v>968.99999999999989</v>
      </c>
      <c r="J87" s="85">
        <f>H87*30%</f>
        <v>510</v>
      </c>
      <c r="K87" s="87">
        <f t="shared" si="5"/>
        <v>1190</v>
      </c>
      <c r="L87" s="87">
        <f t="shared" si="5"/>
        <v>678.29999999999984</v>
      </c>
      <c r="M87" s="87">
        <f t="shared" si="5"/>
        <v>357</v>
      </c>
    </row>
    <row r="88" spans="1:13" ht="62.25" customHeight="1" x14ac:dyDescent="0.25">
      <c r="A88" s="64" t="s">
        <v>38</v>
      </c>
      <c r="B88" s="62" t="s">
        <v>1037</v>
      </c>
      <c r="C88" s="85">
        <v>700</v>
      </c>
      <c r="D88" s="85">
        <v>400</v>
      </c>
      <c r="E88" s="85">
        <v>260</v>
      </c>
      <c r="F88" s="64" t="s">
        <v>38</v>
      </c>
      <c r="G88" s="62" t="s">
        <v>1037</v>
      </c>
      <c r="H88" s="85">
        <f t="shared" si="7"/>
        <v>770.00000000000011</v>
      </c>
      <c r="I88" s="85">
        <f t="shared" si="7"/>
        <v>440.00000000000006</v>
      </c>
      <c r="J88" s="85">
        <f t="shared" si="7"/>
        <v>286</v>
      </c>
      <c r="K88" s="87">
        <f t="shared" si="5"/>
        <v>539</v>
      </c>
      <c r="L88" s="87">
        <f t="shared" si="5"/>
        <v>308</v>
      </c>
      <c r="M88" s="87">
        <f t="shared" si="5"/>
        <v>200.2</v>
      </c>
    </row>
    <row r="89" spans="1:13" ht="54.75" customHeight="1" x14ac:dyDescent="0.25">
      <c r="A89" s="64" t="s">
        <v>39</v>
      </c>
      <c r="B89" s="62" t="s">
        <v>1038</v>
      </c>
      <c r="C89" s="85">
        <v>400</v>
      </c>
      <c r="D89" s="85">
        <v>280</v>
      </c>
      <c r="E89" s="85">
        <v>200</v>
      </c>
      <c r="F89" s="64" t="s">
        <v>39</v>
      </c>
      <c r="G89" s="62" t="s">
        <v>1038</v>
      </c>
      <c r="H89" s="85">
        <f t="shared" si="7"/>
        <v>440.00000000000006</v>
      </c>
      <c r="I89" s="85">
        <f t="shared" si="7"/>
        <v>308</v>
      </c>
      <c r="J89" s="85">
        <f t="shared" si="7"/>
        <v>220.00000000000003</v>
      </c>
      <c r="K89" s="87">
        <f t="shared" si="5"/>
        <v>308</v>
      </c>
      <c r="L89" s="87">
        <f t="shared" si="5"/>
        <v>215.6</v>
      </c>
      <c r="M89" s="87">
        <f t="shared" si="5"/>
        <v>154</v>
      </c>
    </row>
    <row r="90" spans="1:13" ht="61.5" customHeight="1" x14ac:dyDescent="0.25">
      <c r="A90" s="64" t="s">
        <v>40</v>
      </c>
      <c r="B90" s="62" t="s">
        <v>1039</v>
      </c>
      <c r="C90" s="85">
        <v>350</v>
      </c>
      <c r="D90" s="85">
        <v>250</v>
      </c>
      <c r="E90" s="85">
        <v>180</v>
      </c>
      <c r="F90" s="64" t="s">
        <v>40</v>
      </c>
      <c r="G90" s="62" t="s">
        <v>1039</v>
      </c>
      <c r="H90" s="85">
        <v>1150</v>
      </c>
      <c r="I90" s="85">
        <f>H90*71%</f>
        <v>816.5</v>
      </c>
      <c r="J90" s="85">
        <f>H90*51%</f>
        <v>586.5</v>
      </c>
      <c r="K90" s="87">
        <f t="shared" si="5"/>
        <v>805</v>
      </c>
      <c r="L90" s="87">
        <f t="shared" si="5"/>
        <v>571.54999999999995</v>
      </c>
      <c r="M90" s="87">
        <f t="shared" si="5"/>
        <v>410.54999999999995</v>
      </c>
    </row>
    <row r="91" spans="1:13" ht="68.25" customHeight="1" x14ac:dyDescent="0.25">
      <c r="A91" s="64" t="s">
        <v>118</v>
      </c>
      <c r="B91" s="66" t="s">
        <v>119</v>
      </c>
      <c r="C91" s="85">
        <v>300</v>
      </c>
      <c r="D91" s="85">
        <v>200</v>
      </c>
      <c r="E91" s="85">
        <v>150</v>
      </c>
      <c r="F91" s="64" t="s">
        <v>41</v>
      </c>
      <c r="G91" s="66" t="s">
        <v>119</v>
      </c>
      <c r="H91" s="85">
        <v>500</v>
      </c>
      <c r="I91" s="85">
        <f>H91*67%</f>
        <v>335</v>
      </c>
      <c r="J91" s="85">
        <f>H91*50%</f>
        <v>250</v>
      </c>
      <c r="K91" s="87">
        <f t="shared" si="5"/>
        <v>350</v>
      </c>
      <c r="L91" s="87">
        <f t="shared" si="5"/>
        <v>234.49999999999997</v>
      </c>
      <c r="M91" s="87">
        <f t="shared" si="5"/>
        <v>175</v>
      </c>
    </row>
    <row r="92" spans="1:13" ht="52.5" customHeight="1" x14ac:dyDescent="0.25">
      <c r="A92" s="228" t="s">
        <v>41</v>
      </c>
      <c r="B92" s="66" t="s">
        <v>120</v>
      </c>
      <c r="C92" s="85">
        <v>350</v>
      </c>
      <c r="D92" s="85">
        <v>240</v>
      </c>
      <c r="E92" s="85">
        <v>180</v>
      </c>
      <c r="F92" s="228" t="s">
        <v>1129</v>
      </c>
      <c r="G92" s="66" t="s">
        <v>120</v>
      </c>
      <c r="H92" s="85">
        <v>500</v>
      </c>
      <c r="I92" s="85">
        <f>H92*68%</f>
        <v>340</v>
      </c>
      <c r="J92" s="85">
        <f>H92*51%</f>
        <v>255</v>
      </c>
      <c r="K92" s="87">
        <f t="shared" si="5"/>
        <v>350</v>
      </c>
      <c r="L92" s="87">
        <f t="shared" si="5"/>
        <v>237.99999999999997</v>
      </c>
      <c r="M92" s="87">
        <f t="shared" si="5"/>
        <v>178.5</v>
      </c>
    </row>
    <row r="93" spans="1:13" ht="52.5" customHeight="1" x14ac:dyDescent="0.25">
      <c r="A93" s="228"/>
      <c r="B93" s="66" t="s">
        <v>74</v>
      </c>
      <c r="C93" s="85">
        <v>220</v>
      </c>
      <c r="D93" s="85">
        <v>150</v>
      </c>
      <c r="E93" s="85">
        <v>120</v>
      </c>
      <c r="F93" s="228"/>
      <c r="G93" s="66" t="s">
        <v>74</v>
      </c>
      <c r="H93" s="85">
        <v>500</v>
      </c>
      <c r="I93" s="85">
        <f>H93*68%</f>
        <v>340</v>
      </c>
      <c r="J93" s="85">
        <f>H93*54%</f>
        <v>270</v>
      </c>
      <c r="K93" s="87">
        <f t="shared" si="5"/>
        <v>350</v>
      </c>
      <c r="L93" s="87">
        <f t="shared" si="5"/>
        <v>237.99999999999997</v>
      </c>
      <c r="M93" s="87">
        <f t="shared" si="5"/>
        <v>189</v>
      </c>
    </row>
    <row r="94" spans="1:13" ht="64.5" customHeight="1" x14ac:dyDescent="0.25">
      <c r="A94" s="228"/>
      <c r="B94" s="66" t="s">
        <v>75</v>
      </c>
      <c r="C94" s="85">
        <v>200</v>
      </c>
      <c r="D94" s="85">
        <v>130</v>
      </c>
      <c r="E94" s="85">
        <v>100</v>
      </c>
      <c r="F94" s="228"/>
      <c r="G94" s="66" t="s">
        <v>75</v>
      </c>
      <c r="H94" s="85">
        <v>400</v>
      </c>
      <c r="I94" s="85">
        <f>H94*65%</f>
        <v>260</v>
      </c>
      <c r="J94" s="85">
        <f>H94*50%</f>
        <v>200</v>
      </c>
      <c r="K94" s="87">
        <f t="shared" si="5"/>
        <v>280</v>
      </c>
      <c r="L94" s="87">
        <f t="shared" si="5"/>
        <v>182</v>
      </c>
      <c r="M94" s="87">
        <f t="shared" si="5"/>
        <v>140</v>
      </c>
    </row>
    <row r="95" spans="1:13" ht="54.75" customHeight="1" x14ac:dyDescent="0.25">
      <c r="A95" s="228"/>
      <c r="B95" s="66" t="s">
        <v>76</v>
      </c>
      <c r="C95" s="85">
        <v>185</v>
      </c>
      <c r="D95" s="85">
        <v>130</v>
      </c>
      <c r="E95" s="85">
        <v>100</v>
      </c>
      <c r="F95" s="228"/>
      <c r="G95" s="66" t="s">
        <v>76</v>
      </c>
      <c r="H95" s="85">
        <v>300</v>
      </c>
      <c r="I95" s="85">
        <f>H95*70%</f>
        <v>210</v>
      </c>
      <c r="J95" s="85">
        <f>H95*54%</f>
        <v>162</v>
      </c>
      <c r="K95" s="87">
        <f t="shared" si="5"/>
        <v>210</v>
      </c>
      <c r="L95" s="87">
        <f t="shared" si="5"/>
        <v>147</v>
      </c>
      <c r="M95" s="87">
        <f t="shared" si="5"/>
        <v>113.39999999999999</v>
      </c>
    </row>
    <row r="96" spans="1:13" ht="33" x14ac:dyDescent="0.25">
      <c r="A96" s="64" t="s">
        <v>41</v>
      </c>
      <c r="B96" s="66" t="s">
        <v>27</v>
      </c>
      <c r="C96" s="85">
        <v>120</v>
      </c>
      <c r="D96" s="85">
        <v>100</v>
      </c>
      <c r="E96" s="85">
        <v>90</v>
      </c>
      <c r="F96" s="64" t="s">
        <v>1130</v>
      </c>
      <c r="G96" s="66" t="s">
        <v>27</v>
      </c>
      <c r="H96" s="85">
        <f>C96*1.1</f>
        <v>132</v>
      </c>
      <c r="I96" s="85">
        <f>D96*1.1</f>
        <v>110.00000000000001</v>
      </c>
      <c r="J96" s="85">
        <f>E96*1.1</f>
        <v>99.000000000000014</v>
      </c>
      <c r="K96" s="87">
        <f t="shared" si="5"/>
        <v>92.399999999999991</v>
      </c>
      <c r="L96" s="87">
        <f t="shared" si="5"/>
        <v>77</v>
      </c>
      <c r="M96" s="87">
        <f t="shared" si="5"/>
        <v>69.300000000000011</v>
      </c>
    </row>
    <row r="97" spans="1:13" ht="33" x14ac:dyDescent="0.25">
      <c r="A97" s="60">
        <v>6</v>
      </c>
      <c r="B97" s="62" t="s">
        <v>121</v>
      </c>
      <c r="C97" s="85"/>
      <c r="D97" s="85"/>
      <c r="E97" s="85"/>
      <c r="F97" s="60">
        <v>6</v>
      </c>
      <c r="G97" s="62" t="s">
        <v>121</v>
      </c>
      <c r="H97" s="85"/>
      <c r="I97" s="85"/>
      <c r="J97" s="85"/>
      <c r="K97" s="87"/>
      <c r="L97" s="87"/>
      <c r="M97" s="87"/>
    </row>
    <row r="98" spans="1:13" ht="57" customHeight="1" x14ac:dyDescent="0.25">
      <c r="A98" s="64" t="s">
        <v>43</v>
      </c>
      <c r="B98" s="62" t="s">
        <v>1040</v>
      </c>
      <c r="C98" s="85">
        <v>600</v>
      </c>
      <c r="D98" s="85">
        <v>350</v>
      </c>
      <c r="E98" s="85">
        <v>250</v>
      </c>
      <c r="F98" s="64" t="s">
        <v>43</v>
      </c>
      <c r="G98" s="93" t="s">
        <v>122</v>
      </c>
      <c r="H98" s="85">
        <v>970</v>
      </c>
      <c r="I98" s="85">
        <f>H98*58%</f>
        <v>562.59999999999991</v>
      </c>
      <c r="J98" s="85">
        <f>42%*H98</f>
        <v>407.4</v>
      </c>
      <c r="K98" s="87">
        <f t="shared" si="5"/>
        <v>679</v>
      </c>
      <c r="L98" s="87">
        <f t="shared" si="5"/>
        <v>393.81999999999994</v>
      </c>
      <c r="M98" s="87">
        <f t="shared" si="5"/>
        <v>285.17999999999995</v>
      </c>
    </row>
    <row r="99" spans="1:13" ht="75" customHeight="1" x14ac:dyDescent="0.25">
      <c r="A99" s="64"/>
      <c r="B99" s="62"/>
      <c r="C99" s="85"/>
      <c r="D99" s="85"/>
      <c r="E99" s="85"/>
      <c r="F99" s="64" t="s">
        <v>123</v>
      </c>
      <c r="G99" s="66" t="s">
        <v>124</v>
      </c>
      <c r="H99" s="85">
        <v>1000</v>
      </c>
      <c r="I99" s="85">
        <f>H99*58%</f>
        <v>580</v>
      </c>
      <c r="J99" s="85">
        <f>H99*42%</f>
        <v>420</v>
      </c>
      <c r="K99" s="87">
        <f t="shared" si="5"/>
        <v>700</v>
      </c>
      <c r="L99" s="87">
        <f t="shared" si="5"/>
        <v>406</v>
      </c>
      <c r="M99" s="87">
        <f t="shared" si="5"/>
        <v>294</v>
      </c>
    </row>
    <row r="100" spans="1:13" ht="53.25" customHeight="1" x14ac:dyDescent="0.25">
      <c r="A100" s="64" t="s">
        <v>44</v>
      </c>
      <c r="B100" s="62" t="s">
        <v>1041</v>
      </c>
      <c r="C100" s="85">
        <v>650</v>
      </c>
      <c r="D100" s="85">
        <v>350</v>
      </c>
      <c r="E100" s="85">
        <v>280</v>
      </c>
      <c r="F100" s="64" t="s">
        <v>44</v>
      </c>
      <c r="G100" s="62" t="s">
        <v>1041</v>
      </c>
      <c r="H100" s="85">
        <v>1000</v>
      </c>
      <c r="I100" s="85">
        <f>H100*54%</f>
        <v>540</v>
      </c>
      <c r="J100" s="85">
        <f>H100*43%</f>
        <v>430</v>
      </c>
      <c r="K100" s="87">
        <f t="shared" si="5"/>
        <v>700</v>
      </c>
      <c r="L100" s="87">
        <f t="shared" si="5"/>
        <v>378</v>
      </c>
      <c r="M100" s="87">
        <f t="shared" si="5"/>
        <v>301</v>
      </c>
    </row>
    <row r="101" spans="1:13" ht="89.25" customHeight="1" x14ac:dyDescent="0.25">
      <c r="A101" s="64" t="s">
        <v>45</v>
      </c>
      <c r="B101" s="62" t="s">
        <v>1042</v>
      </c>
      <c r="C101" s="85">
        <v>500</v>
      </c>
      <c r="D101" s="85">
        <v>300</v>
      </c>
      <c r="E101" s="85">
        <v>180</v>
      </c>
      <c r="F101" s="64" t="s">
        <v>45</v>
      </c>
      <c r="G101" s="66" t="s">
        <v>125</v>
      </c>
      <c r="H101" s="85">
        <v>900</v>
      </c>
      <c r="I101" s="85">
        <f>H101*60%</f>
        <v>540</v>
      </c>
      <c r="J101" s="85">
        <f>H101*36%</f>
        <v>324</v>
      </c>
      <c r="K101" s="87">
        <f t="shared" si="5"/>
        <v>630</v>
      </c>
      <c r="L101" s="87">
        <f t="shared" si="5"/>
        <v>378</v>
      </c>
      <c r="M101" s="87">
        <f t="shared" si="5"/>
        <v>226.79999999999998</v>
      </c>
    </row>
    <row r="102" spans="1:13" ht="46.5" customHeight="1" x14ac:dyDescent="0.25">
      <c r="A102" s="64"/>
      <c r="B102" s="62"/>
      <c r="C102" s="85"/>
      <c r="D102" s="85"/>
      <c r="E102" s="85"/>
      <c r="F102" s="64" t="s">
        <v>126</v>
      </c>
      <c r="G102" s="66" t="s">
        <v>127</v>
      </c>
      <c r="H102" s="85">
        <v>800</v>
      </c>
      <c r="I102" s="85">
        <f>H102*60%</f>
        <v>480</v>
      </c>
      <c r="J102" s="85">
        <f>H102*36%</f>
        <v>288</v>
      </c>
      <c r="K102" s="87">
        <f t="shared" si="5"/>
        <v>560</v>
      </c>
      <c r="L102" s="87">
        <f t="shared" si="5"/>
        <v>336</v>
      </c>
      <c r="M102" s="87">
        <f t="shared" si="5"/>
        <v>201.6</v>
      </c>
    </row>
    <row r="103" spans="1:13" ht="48.75" customHeight="1" x14ac:dyDescent="0.25">
      <c r="A103" s="64" t="s">
        <v>128</v>
      </c>
      <c r="B103" s="66" t="s">
        <v>129</v>
      </c>
      <c r="C103" s="85">
        <v>400</v>
      </c>
      <c r="D103" s="85">
        <v>280</v>
      </c>
      <c r="E103" s="85">
        <v>200</v>
      </c>
      <c r="F103" s="64" t="s">
        <v>128</v>
      </c>
      <c r="G103" s="66" t="s">
        <v>129</v>
      </c>
      <c r="H103" s="85">
        <v>570</v>
      </c>
      <c r="I103" s="85">
        <f>H103*70%</f>
        <v>399</v>
      </c>
      <c r="J103" s="85">
        <f>H103*50%</f>
        <v>285</v>
      </c>
      <c r="K103" s="87">
        <f t="shared" si="5"/>
        <v>399</v>
      </c>
      <c r="L103" s="87">
        <f t="shared" si="5"/>
        <v>279.29999999999995</v>
      </c>
      <c r="M103" s="87">
        <f t="shared" si="5"/>
        <v>199.5</v>
      </c>
    </row>
    <row r="104" spans="1:13" ht="45.75" customHeight="1" x14ac:dyDescent="0.25">
      <c r="A104" s="64" t="s">
        <v>46</v>
      </c>
      <c r="B104" s="66" t="s">
        <v>130</v>
      </c>
      <c r="C104" s="85">
        <v>400</v>
      </c>
      <c r="D104" s="85">
        <v>280</v>
      </c>
      <c r="E104" s="85">
        <v>200</v>
      </c>
      <c r="F104" s="64" t="s">
        <v>46</v>
      </c>
      <c r="G104" s="66" t="s">
        <v>130</v>
      </c>
      <c r="H104" s="87">
        <v>450</v>
      </c>
      <c r="I104" s="87">
        <f t="shared" ref="I104:J106" si="8">D104*1.13</f>
        <v>316.39999999999998</v>
      </c>
      <c r="J104" s="87">
        <f t="shared" si="8"/>
        <v>225.99999999999997</v>
      </c>
      <c r="K104" s="87">
        <f t="shared" si="5"/>
        <v>315</v>
      </c>
      <c r="L104" s="87">
        <f t="shared" si="5"/>
        <v>221.47999999999996</v>
      </c>
      <c r="M104" s="87">
        <f t="shared" si="5"/>
        <v>158.19999999999996</v>
      </c>
    </row>
    <row r="105" spans="1:13" ht="51.75" customHeight="1" x14ac:dyDescent="0.25">
      <c r="A105" s="64" t="s">
        <v>47</v>
      </c>
      <c r="B105" s="66" t="s">
        <v>131</v>
      </c>
      <c r="C105" s="85">
        <v>400</v>
      </c>
      <c r="D105" s="85">
        <v>280</v>
      </c>
      <c r="E105" s="85">
        <v>200</v>
      </c>
      <c r="F105" s="64" t="s">
        <v>47</v>
      </c>
      <c r="G105" s="66" t="s">
        <v>131</v>
      </c>
      <c r="H105" s="87">
        <v>450</v>
      </c>
      <c r="I105" s="87">
        <f t="shared" si="8"/>
        <v>316.39999999999998</v>
      </c>
      <c r="J105" s="87">
        <f t="shared" si="8"/>
        <v>225.99999999999997</v>
      </c>
      <c r="K105" s="87">
        <f t="shared" si="5"/>
        <v>315</v>
      </c>
      <c r="L105" s="87">
        <f t="shared" si="5"/>
        <v>221.47999999999996</v>
      </c>
      <c r="M105" s="87">
        <f t="shared" si="5"/>
        <v>158.19999999999996</v>
      </c>
    </row>
    <row r="106" spans="1:13" ht="46.5" customHeight="1" x14ac:dyDescent="0.25">
      <c r="A106" s="64" t="s">
        <v>132</v>
      </c>
      <c r="B106" s="62" t="s">
        <v>1043</v>
      </c>
      <c r="C106" s="85">
        <v>400</v>
      </c>
      <c r="D106" s="85">
        <v>280</v>
      </c>
      <c r="E106" s="85">
        <v>200</v>
      </c>
      <c r="F106" s="64" t="s">
        <v>132</v>
      </c>
      <c r="G106" s="62" t="s">
        <v>1043</v>
      </c>
      <c r="H106" s="87">
        <v>450</v>
      </c>
      <c r="I106" s="87">
        <f t="shared" si="8"/>
        <v>316.39999999999998</v>
      </c>
      <c r="J106" s="87">
        <f t="shared" si="8"/>
        <v>225.99999999999997</v>
      </c>
      <c r="K106" s="87">
        <f t="shared" si="5"/>
        <v>315</v>
      </c>
      <c r="L106" s="87">
        <f t="shared" si="5"/>
        <v>221.47999999999996</v>
      </c>
      <c r="M106" s="87">
        <f t="shared" si="5"/>
        <v>158.19999999999996</v>
      </c>
    </row>
    <row r="107" spans="1:13" ht="53.25" customHeight="1" x14ac:dyDescent="0.25">
      <c r="A107" s="64" t="s">
        <v>133</v>
      </c>
      <c r="B107" s="62" t="s">
        <v>1044</v>
      </c>
      <c r="C107" s="85">
        <v>380</v>
      </c>
      <c r="D107" s="85">
        <v>260</v>
      </c>
      <c r="E107" s="85">
        <v>180</v>
      </c>
      <c r="F107" s="64" t="s">
        <v>133</v>
      </c>
      <c r="G107" s="62" t="s">
        <v>1044</v>
      </c>
      <c r="H107" s="85">
        <v>560</v>
      </c>
      <c r="I107" s="85">
        <f>H107*60%</f>
        <v>336</v>
      </c>
      <c r="J107" s="85">
        <f>H107*47%</f>
        <v>263.2</v>
      </c>
      <c r="K107" s="87">
        <f t="shared" si="5"/>
        <v>392</v>
      </c>
      <c r="L107" s="87">
        <f t="shared" si="5"/>
        <v>235.2</v>
      </c>
      <c r="M107" s="87">
        <f t="shared" si="5"/>
        <v>184.23999999999998</v>
      </c>
    </row>
    <row r="108" spans="1:13" ht="33" x14ac:dyDescent="0.25">
      <c r="A108" s="64" t="s">
        <v>134</v>
      </c>
      <c r="B108" s="62" t="s">
        <v>135</v>
      </c>
      <c r="C108" s="85">
        <v>550</v>
      </c>
      <c r="D108" s="85">
        <v>350</v>
      </c>
      <c r="E108" s="85">
        <v>250</v>
      </c>
      <c r="F108" s="64" t="s">
        <v>134</v>
      </c>
      <c r="G108" s="62" t="s">
        <v>135</v>
      </c>
      <c r="H108" s="85">
        <v>720</v>
      </c>
      <c r="I108" s="85">
        <f>H108*64%</f>
        <v>460.8</v>
      </c>
      <c r="J108" s="85">
        <f>H108*45%</f>
        <v>324</v>
      </c>
      <c r="K108" s="87">
        <f t="shared" si="5"/>
        <v>503.99999999999994</v>
      </c>
      <c r="L108" s="87">
        <f t="shared" si="5"/>
        <v>322.56</v>
      </c>
      <c r="M108" s="87">
        <f t="shared" si="5"/>
        <v>226.79999999999998</v>
      </c>
    </row>
    <row r="109" spans="1:13" ht="81" customHeight="1" x14ac:dyDescent="0.25">
      <c r="A109" s="64"/>
      <c r="B109" s="66"/>
      <c r="C109" s="85"/>
      <c r="D109" s="85"/>
      <c r="E109" s="85"/>
      <c r="F109" s="64" t="s">
        <v>136</v>
      </c>
      <c r="G109" s="93" t="s">
        <v>137</v>
      </c>
      <c r="H109" s="85">
        <v>700</v>
      </c>
      <c r="I109" s="85">
        <f>H109*60%</f>
        <v>420</v>
      </c>
      <c r="J109" s="85">
        <f>H109*36%</f>
        <v>252</v>
      </c>
      <c r="K109" s="87">
        <f t="shared" si="5"/>
        <v>489.99999999999994</v>
      </c>
      <c r="L109" s="87">
        <f t="shared" si="5"/>
        <v>294</v>
      </c>
      <c r="M109" s="87">
        <f t="shared" si="5"/>
        <v>176.39999999999998</v>
      </c>
    </row>
    <row r="110" spans="1:13" ht="42.75" customHeight="1" x14ac:dyDescent="0.25">
      <c r="A110" s="228" t="s">
        <v>138</v>
      </c>
      <c r="B110" s="66" t="s">
        <v>74</v>
      </c>
      <c r="C110" s="85">
        <v>220</v>
      </c>
      <c r="D110" s="85">
        <v>150</v>
      </c>
      <c r="E110" s="85">
        <v>120</v>
      </c>
      <c r="F110" s="228" t="s">
        <v>138</v>
      </c>
      <c r="G110" s="66" t="s">
        <v>74</v>
      </c>
      <c r="H110" s="85">
        <v>450</v>
      </c>
      <c r="I110" s="85">
        <f>H110*68%</f>
        <v>306</v>
      </c>
      <c r="J110" s="85">
        <f>H110*55%</f>
        <v>247.50000000000003</v>
      </c>
      <c r="K110" s="87">
        <f t="shared" si="5"/>
        <v>315</v>
      </c>
      <c r="L110" s="87">
        <f t="shared" si="5"/>
        <v>214.2</v>
      </c>
      <c r="M110" s="87">
        <f t="shared" si="5"/>
        <v>173.25</v>
      </c>
    </row>
    <row r="111" spans="1:13" ht="42.75" customHeight="1" x14ac:dyDescent="0.25">
      <c r="A111" s="228"/>
      <c r="B111" s="66" t="s">
        <v>75</v>
      </c>
      <c r="C111" s="85">
        <v>200</v>
      </c>
      <c r="D111" s="85">
        <v>130</v>
      </c>
      <c r="E111" s="85">
        <v>100</v>
      </c>
      <c r="F111" s="228"/>
      <c r="G111" s="66" t="s">
        <v>75</v>
      </c>
      <c r="H111" s="85">
        <v>345</v>
      </c>
      <c r="I111" s="85">
        <f>H111*65%</f>
        <v>224.25</v>
      </c>
      <c r="J111" s="85">
        <f>H111*50%</f>
        <v>172.5</v>
      </c>
      <c r="K111" s="87">
        <f t="shared" si="5"/>
        <v>241.49999999999997</v>
      </c>
      <c r="L111" s="87">
        <f t="shared" si="5"/>
        <v>156.97499999999999</v>
      </c>
      <c r="M111" s="87">
        <f t="shared" si="5"/>
        <v>120.74999999999999</v>
      </c>
    </row>
    <row r="112" spans="1:13" ht="42.75" customHeight="1" x14ac:dyDescent="0.25">
      <c r="A112" s="228"/>
      <c r="B112" s="66" t="s">
        <v>76</v>
      </c>
      <c r="C112" s="85">
        <v>185</v>
      </c>
      <c r="D112" s="85">
        <v>130</v>
      </c>
      <c r="E112" s="85">
        <v>100</v>
      </c>
      <c r="F112" s="228"/>
      <c r="G112" s="66" t="s">
        <v>76</v>
      </c>
      <c r="H112" s="85">
        <v>300</v>
      </c>
      <c r="I112" s="85">
        <f>H112*70%</f>
        <v>210</v>
      </c>
      <c r="J112" s="85">
        <f>H112*54%</f>
        <v>162</v>
      </c>
      <c r="K112" s="87">
        <f t="shared" si="5"/>
        <v>210</v>
      </c>
      <c r="L112" s="87">
        <f t="shared" si="5"/>
        <v>147</v>
      </c>
      <c r="M112" s="87">
        <f t="shared" si="5"/>
        <v>113.39999999999999</v>
      </c>
    </row>
    <row r="113" spans="1:13" ht="33" x14ac:dyDescent="0.25">
      <c r="A113" s="64" t="s">
        <v>139</v>
      </c>
      <c r="B113" s="66" t="s">
        <v>27</v>
      </c>
      <c r="C113" s="85">
        <v>120</v>
      </c>
      <c r="D113" s="85">
        <v>100</v>
      </c>
      <c r="E113" s="85">
        <v>90</v>
      </c>
      <c r="F113" s="64" t="s">
        <v>139</v>
      </c>
      <c r="G113" s="66" t="s">
        <v>27</v>
      </c>
      <c r="H113" s="85">
        <f>C113*1.1</f>
        <v>132</v>
      </c>
      <c r="I113" s="85">
        <f>D113*1.1</f>
        <v>110.00000000000001</v>
      </c>
      <c r="J113" s="85">
        <f>E113*1.1</f>
        <v>99.000000000000014</v>
      </c>
      <c r="K113" s="87">
        <f t="shared" si="5"/>
        <v>92.399999999999991</v>
      </c>
      <c r="L113" s="87">
        <f t="shared" si="5"/>
        <v>77</v>
      </c>
      <c r="M113" s="87">
        <f t="shared" si="5"/>
        <v>69.300000000000011</v>
      </c>
    </row>
    <row r="114" spans="1:13" ht="16.5" x14ac:dyDescent="0.25">
      <c r="A114" s="60">
        <v>7</v>
      </c>
      <c r="B114" s="62" t="s">
        <v>140</v>
      </c>
      <c r="C114" s="85"/>
      <c r="D114" s="85"/>
      <c r="E114" s="85"/>
      <c r="F114" s="60">
        <v>7</v>
      </c>
      <c r="G114" s="62" t="s">
        <v>140</v>
      </c>
      <c r="H114" s="85"/>
      <c r="I114" s="85"/>
      <c r="J114" s="85"/>
      <c r="K114" s="87"/>
      <c r="L114" s="87"/>
      <c r="M114" s="87"/>
    </row>
    <row r="115" spans="1:13" ht="47.25" customHeight="1" x14ac:dyDescent="0.25">
      <c r="A115" s="64" t="s">
        <v>141</v>
      </c>
      <c r="B115" s="62" t="s">
        <v>1045</v>
      </c>
      <c r="C115" s="85">
        <v>3500</v>
      </c>
      <c r="D115" s="85">
        <v>1850</v>
      </c>
      <c r="E115" s="85">
        <v>950</v>
      </c>
      <c r="F115" s="64" t="s">
        <v>141</v>
      </c>
      <c r="G115" s="62" t="s">
        <v>1045</v>
      </c>
      <c r="H115" s="87">
        <v>3900</v>
      </c>
      <c r="I115" s="87">
        <f>D115*1.11</f>
        <v>2053.5</v>
      </c>
      <c r="J115" s="87">
        <f>E115*1.11</f>
        <v>1054.5</v>
      </c>
      <c r="K115" s="87">
        <f t="shared" si="5"/>
        <v>2730</v>
      </c>
      <c r="L115" s="87">
        <f t="shared" si="5"/>
        <v>1437.4499999999998</v>
      </c>
      <c r="M115" s="87">
        <f t="shared" si="5"/>
        <v>738.15</v>
      </c>
    </row>
    <row r="116" spans="1:13" ht="54" customHeight="1" x14ac:dyDescent="0.25">
      <c r="A116" s="64" t="s">
        <v>142</v>
      </c>
      <c r="B116" s="62" t="s">
        <v>1046</v>
      </c>
      <c r="C116" s="85">
        <v>2500</v>
      </c>
      <c r="D116" s="85">
        <v>1450</v>
      </c>
      <c r="E116" s="85">
        <v>600</v>
      </c>
      <c r="F116" s="64" t="s">
        <v>142</v>
      </c>
      <c r="G116" s="62" t="s">
        <v>1046</v>
      </c>
      <c r="H116" s="87">
        <v>2800</v>
      </c>
      <c r="I116" s="87">
        <f>D116*1.12</f>
        <v>1624.0000000000002</v>
      </c>
      <c r="J116" s="87">
        <f>E116*1.12</f>
        <v>672.00000000000011</v>
      </c>
      <c r="K116" s="87">
        <f t="shared" si="5"/>
        <v>1959.9999999999998</v>
      </c>
      <c r="L116" s="87">
        <f t="shared" si="5"/>
        <v>1136.8000000000002</v>
      </c>
      <c r="M116" s="87">
        <f t="shared" si="5"/>
        <v>470.40000000000003</v>
      </c>
    </row>
    <row r="117" spans="1:13" ht="51" customHeight="1" x14ac:dyDescent="0.25">
      <c r="A117" s="64" t="s">
        <v>143</v>
      </c>
      <c r="B117" s="62" t="s">
        <v>1047</v>
      </c>
      <c r="C117" s="85">
        <v>1200</v>
      </c>
      <c r="D117" s="85">
        <v>680</v>
      </c>
      <c r="E117" s="85">
        <v>360</v>
      </c>
      <c r="F117" s="64" t="s">
        <v>143</v>
      </c>
      <c r="G117" s="62" t="s">
        <v>1047</v>
      </c>
      <c r="H117" s="85">
        <f t="shared" ref="H117:J117" si="9">C117*1.1</f>
        <v>1320</v>
      </c>
      <c r="I117" s="85">
        <f t="shared" si="9"/>
        <v>748.00000000000011</v>
      </c>
      <c r="J117" s="85">
        <f t="shared" si="9"/>
        <v>396.00000000000006</v>
      </c>
      <c r="K117" s="87">
        <f t="shared" si="5"/>
        <v>923.99999999999989</v>
      </c>
      <c r="L117" s="87">
        <f t="shared" si="5"/>
        <v>523.6</v>
      </c>
      <c r="M117" s="87">
        <f t="shared" si="5"/>
        <v>277.20000000000005</v>
      </c>
    </row>
    <row r="118" spans="1:13" ht="45" customHeight="1" x14ac:dyDescent="0.25">
      <c r="A118" s="64" t="s">
        <v>144</v>
      </c>
      <c r="B118" s="66" t="s">
        <v>145</v>
      </c>
      <c r="C118" s="85">
        <v>600</v>
      </c>
      <c r="D118" s="85">
        <v>350</v>
      </c>
      <c r="E118" s="85">
        <v>250</v>
      </c>
      <c r="F118" s="64" t="s">
        <v>144</v>
      </c>
      <c r="G118" s="66" t="s">
        <v>145</v>
      </c>
      <c r="H118" s="87">
        <v>670</v>
      </c>
      <c r="I118" s="87">
        <f>D118*1.12</f>
        <v>392.00000000000006</v>
      </c>
      <c r="J118" s="87">
        <f>E118*1.12</f>
        <v>280</v>
      </c>
      <c r="K118" s="87">
        <f t="shared" si="5"/>
        <v>468.99999999999994</v>
      </c>
      <c r="L118" s="87">
        <f t="shared" si="5"/>
        <v>274.40000000000003</v>
      </c>
      <c r="M118" s="87">
        <f t="shared" si="5"/>
        <v>196</v>
      </c>
    </row>
    <row r="119" spans="1:13" ht="36" customHeight="1" x14ac:dyDescent="0.25">
      <c r="A119" s="64" t="s">
        <v>146</v>
      </c>
      <c r="B119" s="66" t="s">
        <v>147</v>
      </c>
      <c r="C119" s="85">
        <v>275</v>
      </c>
      <c r="D119" s="85">
        <v>180</v>
      </c>
      <c r="E119" s="85">
        <v>140</v>
      </c>
      <c r="F119" s="64" t="s">
        <v>146</v>
      </c>
      <c r="G119" s="66" t="s">
        <v>147</v>
      </c>
      <c r="H119" s="87">
        <v>304</v>
      </c>
      <c r="I119" s="87">
        <f>D119*1.11</f>
        <v>199.8</v>
      </c>
      <c r="J119" s="87">
        <f>E119*1.11</f>
        <v>155.4</v>
      </c>
      <c r="K119" s="87">
        <f t="shared" si="5"/>
        <v>212.79999999999998</v>
      </c>
      <c r="L119" s="87">
        <f t="shared" si="5"/>
        <v>139.85999999999999</v>
      </c>
      <c r="M119" s="87">
        <f t="shared" si="5"/>
        <v>108.78</v>
      </c>
    </row>
    <row r="120" spans="1:13" ht="67.5" customHeight="1" x14ac:dyDescent="0.25">
      <c r="A120" s="64" t="s">
        <v>148</v>
      </c>
      <c r="B120" s="66" t="s">
        <v>149</v>
      </c>
      <c r="C120" s="85">
        <v>600</v>
      </c>
      <c r="D120" s="85">
        <v>350</v>
      </c>
      <c r="E120" s="85">
        <v>250</v>
      </c>
      <c r="F120" s="64" t="s">
        <v>148</v>
      </c>
      <c r="G120" s="66" t="s">
        <v>149</v>
      </c>
      <c r="H120" s="87">
        <v>670</v>
      </c>
      <c r="I120" s="87">
        <f>D120*1.12</f>
        <v>392.00000000000006</v>
      </c>
      <c r="J120" s="87">
        <f>E120*1.12</f>
        <v>280</v>
      </c>
      <c r="K120" s="87">
        <f t="shared" si="5"/>
        <v>468.99999999999994</v>
      </c>
      <c r="L120" s="87">
        <f t="shared" si="5"/>
        <v>274.40000000000003</v>
      </c>
      <c r="M120" s="87">
        <f t="shared" si="5"/>
        <v>196</v>
      </c>
    </row>
    <row r="121" spans="1:13" ht="54" customHeight="1" x14ac:dyDescent="0.25">
      <c r="A121" s="64" t="s">
        <v>150</v>
      </c>
      <c r="B121" s="66" t="s">
        <v>151</v>
      </c>
      <c r="C121" s="85">
        <v>1000</v>
      </c>
      <c r="D121" s="85">
        <v>600</v>
      </c>
      <c r="E121" s="85">
        <v>400</v>
      </c>
      <c r="F121" s="64" t="s">
        <v>150</v>
      </c>
      <c r="G121" s="66" t="s">
        <v>151</v>
      </c>
      <c r="H121" s="85">
        <f>1000*1.1</f>
        <v>1100</v>
      </c>
      <c r="I121" s="85">
        <f>600*1.1</f>
        <v>660</v>
      </c>
      <c r="J121" s="85">
        <f>400*1.1</f>
        <v>440.00000000000006</v>
      </c>
      <c r="K121" s="87">
        <f t="shared" si="5"/>
        <v>770</v>
      </c>
      <c r="L121" s="87">
        <f t="shared" si="5"/>
        <v>461.99999999999994</v>
      </c>
      <c r="M121" s="87">
        <f t="shared" si="5"/>
        <v>308</v>
      </c>
    </row>
    <row r="122" spans="1:13" ht="45" customHeight="1" x14ac:dyDescent="0.25">
      <c r="A122" s="228" t="s">
        <v>152</v>
      </c>
      <c r="B122" s="66" t="s">
        <v>74</v>
      </c>
      <c r="C122" s="85">
        <v>400</v>
      </c>
      <c r="D122" s="85">
        <v>280</v>
      </c>
      <c r="E122" s="85">
        <v>200</v>
      </c>
      <c r="F122" s="228" t="s">
        <v>152</v>
      </c>
      <c r="G122" s="66" t="s">
        <v>74</v>
      </c>
      <c r="H122" s="85">
        <v>800</v>
      </c>
      <c r="I122" s="85">
        <f>H122*70%</f>
        <v>560</v>
      </c>
      <c r="J122" s="85">
        <f>H122*50%</f>
        <v>400</v>
      </c>
      <c r="K122" s="87">
        <f t="shared" si="5"/>
        <v>560</v>
      </c>
      <c r="L122" s="87">
        <f t="shared" si="5"/>
        <v>392</v>
      </c>
      <c r="M122" s="87">
        <f t="shared" si="5"/>
        <v>280</v>
      </c>
    </row>
    <row r="123" spans="1:13" ht="45" customHeight="1" x14ac:dyDescent="0.25">
      <c r="A123" s="228"/>
      <c r="B123" s="66" t="s">
        <v>75</v>
      </c>
      <c r="C123" s="85">
        <v>280</v>
      </c>
      <c r="D123" s="85">
        <v>170</v>
      </c>
      <c r="E123" s="85">
        <v>140</v>
      </c>
      <c r="F123" s="228"/>
      <c r="G123" s="66" t="s">
        <v>75</v>
      </c>
      <c r="H123" s="85">
        <v>739</v>
      </c>
      <c r="I123" s="85">
        <f>H123*61%</f>
        <v>450.78999999999996</v>
      </c>
      <c r="J123" s="85">
        <f>H123*50%</f>
        <v>369.5</v>
      </c>
      <c r="K123" s="87">
        <f t="shared" si="5"/>
        <v>517.29999999999995</v>
      </c>
      <c r="L123" s="87">
        <f t="shared" si="5"/>
        <v>315.55299999999994</v>
      </c>
      <c r="M123" s="87">
        <f t="shared" si="5"/>
        <v>258.64999999999998</v>
      </c>
    </row>
    <row r="124" spans="1:13" ht="45" customHeight="1" x14ac:dyDescent="0.25">
      <c r="A124" s="228"/>
      <c r="B124" s="66" t="s">
        <v>76</v>
      </c>
      <c r="C124" s="85">
        <v>220</v>
      </c>
      <c r="D124" s="85">
        <v>140</v>
      </c>
      <c r="E124" s="85">
        <v>100</v>
      </c>
      <c r="F124" s="228"/>
      <c r="G124" s="66" t="s">
        <v>76</v>
      </c>
      <c r="H124" s="85">
        <v>600</v>
      </c>
      <c r="I124" s="85">
        <f>H124*64%</f>
        <v>384</v>
      </c>
      <c r="J124" s="85">
        <f>H124*45%</f>
        <v>270</v>
      </c>
      <c r="K124" s="87">
        <f t="shared" si="5"/>
        <v>420</v>
      </c>
      <c r="L124" s="87">
        <f t="shared" si="5"/>
        <v>268.79999999999995</v>
      </c>
      <c r="M124" s="87">
        <f t="shared" si="5"/>
        <v>189</v>
      </c>
    </row>
    <row r="125" spans="1:13" ht="33" x14ac:dyDescent="0.25">
      <c r="A125" s="64" t="s">
        <v>153</v>
      </c>
      <c r="B125" s="66" t="s">
        <v>27</v>
      </c>
      <c r="C125" s="85">
        <v>120</v>
      </c>
      <c r="D125" s="85">
        <v>100</v>
      </c>
      <c r="E125" s="85">
        <v>90</v>
      </c>
      <c r="F125" s="64" t="s">
        <v>153</v>
      </c>
      <c r="G125" s="66" t="s">
        <v>27</v>
      </c>
      <c r="H125" s="85">
        <f>C125*1.1</f>
        <v>132</v>
      </c>
      <c r="I125" s="85">
        <f>D125*1.1</f>
        <v>110.00000000000001</v>
      </c>
      <c r="J125" s="85">
        <f>E125*1.1</f>
        <v>99.000000000000014</v>
      </c>
      <c r="K125" s="87">
        <f t="shared" si="5"/>
        <v>92.399999999999991</v>
      </c>
      <c r="L125" s="87">
        <f t="shared" si="5"/>
        <v>77</v>
      </c>
      <c r="M125" s="87">
        <f t="shared" si="5"/>
        <v>69.300000000000011</v>
      </c>
    </row>
    <row r="126" spans="1:13" ht="25.5" customHeight="1" x14ac:dyDescent="0.25">
      <c r="A126" s="60">
        <v>8</v>
      </c>
      <c r="B126" s="62" t="s">
        <v>154</v>
      </c>
      <c r="C126" s="85"/>
      <c r="D126" s="85"/>
      <c r="E126" s="85"/>
      <c r="F126" s="60">
        <v>8</v>
      </c>
      <c r="G126" s="62" t="s">
        <v>154</v>
      </c>
      <c r="H126" s="85"/>
      <c r="I126" s="85"/>
      <c r="J126" s="85"/>
      <c r="K126" s="87">
        <f t="shared" si="5"/>
        <v>0</v>
      </c>
      <c r="L126" s="87">
        <f t="shared" si="5"/>
        <v>0</v>
      </c>
      <c r="M126" s="87">
        <f t="shared" si="5"/>
        <v>0</v>
      </c>
    </row>
    <row r="127" spans="1:13" ht="44.25" customHeight="1" x14ac:dyDescent="0.25">
      <c r="A127" s="64" t="s">
        <v>13</v>
      </c>
      <c r="B127" s="62" t="s">
        <v>1048</v>
      </c>
      <c r="C127" s="85">
        <v>700</v>
      </c>
      <c r="D127" s="85">
        <v>400</v>
      </c>
      <c r="E127" s="85">
        <v>260</v>
      </c>
      <c r="F127" s="64" t="s">
        <v>13</v>
      </c>
      <c r="G127" s="62" t="s">
        <v>1048</v>
      </c>
      <c r="H127" s="85">
        <f>C127*1.1</f>
        <v>770.00000000000011</v>
      </c>
      <c r="I127" s="85">
        <f>D127*1.1</f>
        <v>440.00000000000006</v>
      </c>
      <c r="J127" s="85">
        <f>E127*1.1</f>
        <v>286</v>
      </c>
      <c r="K127" s="87">
        <f t="shared" si="5"/>
        <v>539</v>
      </c>
      <c r="L127" s="87">
        <f t="shared" si="5"/>
        <v>308</v>
      </c>
      <c r="M127" s="87">
        <f t="shared" si="5"/>
        <v>200.2</v>
      </c>
    </row>
    <row r="128" spans="1:13" s="24" customFormat="1" ht="44.25" customHeight="1" x14ac:dyDescent="0.25">
      <c r="A128" s="64" t="s">
        <v>15</v>
      </c>
      <c r="B128" s="62" t="s">
        <v>1049</v>
      </c>
      <c r="C128" s="85">
        <v>350</v>
      </c>
      <c r="D128" s="85">
        <v>240</v>
      </c>
      <c r="E128" s="85">
        <v>160</v>
      </c>
      <c r="F128" s="64" t="s">
        <v>15</v>
      </c>
      <c r="G128" s="62" t="s">
        <v>1049</v>
      </c>
      <c r="H128" s="85">
        <v>390</v>
      </c>
      <c r="I128" s="85">
        <f>D128*1.11</f>
        <v>266.40000000000003</v>
      </c>
      <c r="J128" s="85">
        <f>E128*1.11</f>
        <v>177.60000000000002</v>
      </c>
      <c r="K128" s="87">
        <f t="shared" si="5"/>
        <v>273</v>
      </c>
      <c r="L128" s="87">
        <f t="shared" si="5"/>
        <v>186.48000000000002</v>
      </c>
      <c r="M128" s="87">
        <f t="shared" si="5"/>
        <v>124.32000000000001</v>
      </c>
    </row>
    <row r="129" spans="1:13" s="24" customFormat="1" ht="57" customHeight="1" x14ac:dyDescent="0.25">
      <c r="A129" s="64" t="s">
        <v>16</v>
      </c>
      <c r="B129" s="62" t="s">
        <v>1050</v>
      </c>
      <c r="C129" s="85">
        <v>350</v>
      </c>
      <c r="D129" s="85">
        <v>240</v>
      </c>
      <c r="E129" s="85">
        <v>160</v>
      </c>
      <c r="F129" s="64" t="s">
        <v>16</v>
      </c>
      <c r="G129" s="62" t="s">
        <v>1050</v>
      </c>
      <c r="H129" s="85">
        <v>390</v>
      </c>
      <c r="I129" s="85">
        <f>D129*1.11</f>
        <v>266.40000000000003</v>
      </c>
      <c r="J129" s="85">
        <f>E129*1.11</f>
        <v>177.60000000000002</v>
      </c>
      <c r="K129" s="87">
        <f t="shared" si="5"/>
        <v>273</v>
      </c>
      <c r="L129" s="87">
        <f t="shared" si="5"/>
        <v>186.48000000000002</v>
      </c>
      <c r="M129" s="87">
        <f t="shared" si="5"/>
        <v>124.32000000000001</v>
      </c>
    </row>
    <row r="130" spans="1:13" ht="46.5" customHeight="1" x14ac:dyDescent="0.25">
      <c r="A130" s="228" t="s">
        <v>155</v>
      </c>
      <c r="B130" s="66" t="s">
        <v>74</v>
      </c>
      <c r="C130" s="85">
        <v>200</v>
      </c>
      <c r="D130" s="85">
        <v>140</v>
      </c>
      <c r="E130" s="85">
        <v>110</v>
      </c>
      <c r="F130" s="228" t="s">
        <v>155</v>
      </c>
      <c r="G130" s="66" t="s">
        <v>74</v>
      </c>
      <c r="H130" s="85">
        <f t="shared" ref="H130:J133" si="10">C130*1.1</f>
        <v>220.00000000000003</v>
      </c>
      <c r="I130" s="85">
        <f t="shared" si="10"/>
        <v>154</v>
      </c>
      <c r="J130" s="85">
        <f t="shared" si="10"/>
        <v>121.00000000000001</v>
      </c>
      <c r="K130" s="87">
        <f t="shared" si="5"/>
        <v>154</v>
      </c>
      <c r="L130" s="87">
        <f t="shared" si="5"/>
        <v>107.8</v>
      </c>
      <c r="M130" s="87">
        <f t="shared" si="5"/>
        <v>84.7</v>
      </c>
    </row>
    <row r="131" spans="1:13" ht="46.5" customHeight="1" x14ac:dyDescent="0.25">
      <c r="A131" s="228"/>
      <c r="B131" s="66" t="s">
        <v>75</v>
      </c>
      <c r="C131" s="85">
        <v>185</v>
      </c>
      <c r="D131" s="85">
        <v>130</v>
      </c>
      <c r="E131" s="85">
        <v>100</v>
      </c>
      <c r="F131" s="228"/>
      <c r="G131" s="66" t="s">
        <v>75</v>
      </c>
      <c r="H131" s="85">
        <f t="shared" si="10"/>
        <v>203.50000000000003</v>
      </c>
      <c r="I131" s="85">
        <f t="shared" si="10"/>
        <v>143</v>
      </c>
      <c r="J131" s="85">
        <f t="shared" si="10"/>
        <v>110.00000000000001</v>
      </c>
      <c r="K131" s="87">
        <f t="shared" si="5"/>
        <v>142.45000000000002</v>
      </c>
      <c r="L131" s="87">
        <f t="shared" si="5"/>
        <v>100.1</v>
      </c>
      <c r="M131" s="87">
        <f t="shared" si="5"/>
        <v>77</v>
      </c>
    </row>
    <row r="132" spans="1:13" ht="46.5" customHeight="1" x14ac:dyDescent="0.25">
      <c r="A132" s="228"/>
      <c r="B132" s="66" t="s">
        <v>156</v>
      </c>
      <c r="C132" s="85">
        <v>170</v>
      </c>
      <c r="D132" s="85">
        <v>130</v>
      </c>
      <c r="E132" s="85">
        <v>100</v>
      </c>
      <c r="F132" s="228"/>
      <c r="G132" s="66" t="s">
        <v>156</v>
      </c>
      <c r="H132" s="85">
        <f t="shared" si="10"/>
        <v>187.00000000000003</v>
      </c>
      <c r="I132" s="85">
        <f t="shared" si="10"/>
        <v>143</v>
      </c>
      <c r="J132" s="85">
        <f t="shared" si="10"/>
        <v>110.00000000000001</v>
      </c>
      <c r="K132" s="87">
        <f t="shared" si="5"/>
        <v>130.9</v>
      </c>
      <c r="L132" s="87">
        <f t="shared" si="5"/>
        <v>100.1</v>
      </c>
      <c r="M132" s="87">
        <f t="shared" si="5"/>
        <v>77</v>
      </c>
    </row>
    <row r="133" spans="1:13" ht="25.5" customHeight="1" x14ac:dyDescent="0.25">
      <c r="A133" s="64" t="s">
        <v>157</v>
      </c>
      <c r="B133" s="66" t="s">
        <v>27</v>
      </c>
      <c r="C133" s="85">
        <v>120</v>
      </c>
      <c r="D133" s="85">
        <v>100</v>
      </c>
      <c r="E133" s="85">
        <v>90</v>
      </c>
      <c r="F133" s="64" t="s">
        <v>157</v>
      </c>
      <c r="G133" s="66" t="s">
        <v>27</v>
      </c>
      <c r="H133" s="85">
        <f t="shared" si="10"/>
        <v>132</v>
      </c>
      <c r="I133" s="85">
        <f t="shared" si="10"/>
        <v>110.00000000000001</v>
      </c>
      <c r="J133" s="85">
        <f t="shared" si="10"/>
        <v>99.000000000000014</v>
      </c>
      <c r="K133" s="87">
        <f t="shared" si="5"/>
        <v>92.399999999999991</v>
      </c>
      <c r="L133" s="87">
        <f t="shared" si="5"/>
        <v>77</v>
      </c>
      <c r="M133" s="87">
        <f t="shared" si="5"/>
        <v>69.300000000000011</v>
      </c>
    </row>
    <row r="134" spans="1:13" ht="29.25" customHeight="1" x14ac:dyDescent="0.25">
      <c r="A134" s="60">
        <v>9</v>
      </c>
      <c r="B134" s="62" t="s">
        <v>158</v>
      </c>
      <c r="C134" s="85"/>
      <c r="D134" s="85"/>
      <c r="E134" s="85"/>
      <c r="F134" s="60">
        <v>9</v>
      </c>
      <c r="G134" s="62" t="s">
        <v>158</v>
      </c>
      <c r="H134" s="85"/>
      <c r="I134" s="85"/>
      <c r="J134" s="85"/>
      <c r="K134" s="87"/>
      <c r="L134" s="87"/>
      <c r="M134" s="87"/>
    </row>
    <row r="135" spans="1:13" ht="50.25" customHeight="1" x14ac:dyDescent="0.25">
      <c r="A135" s="64" t="s">
        <v>159</v>
      </c>
      <c r="B135" s="62" t="s">
        <v>1051</v>
      </c>
      <c r="C135" s="85">
        <v>3800</v>
      </c>
      <c r="D135" s="85">
        <v>2200</v>
      </c>
      <c r="E135" s="85">
        <v>1000</v>
      </c>
      <c r="F135" s="64" t="s">
        <v>159</v>
      </c>
      <c r="G135" s="66" t="s">
        <v>1052</v>
      </c>
      <c r="H135" s="85">
        <v>3510</v>
      </c>
      <c r="I135" s="85">
        <f>58%*H135</f>
        <v>2035.8</v>
      </c>
      <c r="J135" s="85">
        <f>26%*H135</f>
        <v>912.6</v>
      </c>
      <c r="K135" s="87">
        <f t="shared" si="5"/>
        <v>2457</v>
      </c>
      <c r="L135" s="87">
        <f t="shared" si="5"/>
        <v>1425.06</v>
      </c>
      <c r="M135" s="87">
        <f t="shared" si="5"/>
        <v>638.81999999999994</v>
      </c>
    </row>
    <row r="136" spans="1:13" ht="50.25" customHeight="1" x14ac:dyDescent="0.25">
      <c r="A136" s="64" t="s">
        <v>160</v>
      </c>
      <c r="B136" s="62" t="s">
        <v>1053</v>
      </c>
      <c r="C136" s="85">
        <v>2700</v>
      </c>
      <c r="D136" s="85">
        <v>1500</v>
      </c>
      <c r="E136" s="85">
        <v>800</v>
      </c>
      <c r="F136" s="64" t="s">
        <v>160</v>
      </c>
      <c r="G136" s="62" t="s">
        <v>1054</v>
      </c>
      <c r="H136" s="85">
        <f t="shared" ref="H136:J136" si="11">C136*1.1</f>
        <v>2970.0000000000005</v>
      </c>
      <c r="I136" s="85">
        <f t="shared" si="11"/>
        <v>1650.0000000000002</v>
      </c>
      <c r="J136" s="85">
        <f t="shared" si="11"/>
        <v>880.00000000000011</v>
      </c>
      <c r="K136" s="87">
        <f t="shared" si="5"/>
        <v>2079</v>
      </c>
      <c r="L136" s="87">
        <f t="shared" si="5"/>
        <v>1155</v>
      </c>
      <c r="M136" s="87">
        <f t="shared" si="5"/>
        <v>616</v>
      </c>
    </row>
    <row r="137" spans="1:13" ht="50.25" customHeight="1" x14ac:dyDescent="0.25">
      <c r="A137" s="64" t="s">
        <v>161</v>
      </c>
      <c r="B137" s="62" t="s">
        <v>1055</v>
      </c>
      <c r="C137" s="85">
        <v>1200</v>
      </c>
      <c r="D137" s="85">
        <v>700</v>
      </c>
      <c r="E137" s="85">
        <v>380</v>
      </c>
      <c r="F137" s="64" t="s">
        <v>161</v>
      </c>
      <c r="G137" s="62" t="s">
        <v>1056</v>
      </c>
      <c r="H137" s="85">
        <v>2150</v>
      </c>
      <c r="I137" s="85">
        <f>H137*58%</f>
        <v>1247</v>
      </c>
      <c r="J137" s="85">
        <f>H137*32%</f>
        <v>688</v>
      </c>
      <c r="K137" s="87">
        <f t="shared" ref="K137:M201" si="12">H137*$L$3</f>
        <v>1505</v>
      </c>
      <c r="L137" s="87">
        <f t="shared" si="12"/>
        <v>872.9</v>
      </c>
      <c r="M137" s="87">
        <f t="shared" si="12"/>
        <v>481.59999999999997</v>
      </c>
    </row>
    <row r="138" spans="1:13" s="24" customFormat="1" ht="48" customHeight="1" x14ac:dyDescent="0.25">
      <c r="A138" s="64" t="s">
        <v>162</v>
      </c>
      <c r="B138" s="62" t="s">
        <v>1057</v>
      </c>
      <c r="C138" s="85">
        <v>280</v>
      </c>
      <c r="D138" s="85">
        <v>185</v>
      </c>
      <c r="E138" s="85">
        <v>150</v>
      </c>
      <c r="F138" s="64" t="s">
        <v>162</v>
      </c>
      <c r="G138" s="62" t="s">
        <v>1058</v>
      </c>
      <c r="H138" s="85">
        <v>310</v>
      </c>
      <c r="I138" s="85">
        <f>D138*1.11</f>
        <v>205.35000000000002</v>
      </c>
      <c r="J138" s="85">
        <f>E138*1.11</f>
        <v>166.50000000000003</v>
      </c>
      <c r="K138" s="87">
        <f t="shared" si="12"/>
        <v>217</v>
      </c>
      <c r="L138" s="87">
        <f t="shared" si="12"/>
        <v>143.745</v>
      </c>
      <c r="M138" s="87">
        <f t="shared" si="12"/>
        <v>116.55000000000001</v>
      </c>
    </row>
    <row r="139" spans="1:13" ht="56.25" customHeight="1" x14ac:dyDescent="0.25">
      <c r="A139" s="64" t="s">
        <v>163</v>
      </c>
      <c r="B139" s="66" t="s">
        <v>164</v>
      </c>
      <c r="C139" s="85">
        <v>350</v>
      </c>
      <c r="D139" s="85">
        <v>250</v>
      </c>
      <c r="E139" s="85">
        <v>180</v>
      </c>
      <c r="F139" s="64" t="s">
        <v>163</v>
      </c>
      <c r="G139" s="66" t="s">
        <v>164</v>
      </c>
      <c r="H139" s="85">
        <v>1280</v>
      </c>
      <c r="I139" s="85">
        <f>H139*71%</f>
        <v>908.8</v>
      </c>
      <c r="J139" s="85">
        <f>H139*51%</f>
        <v>652.79999999999995</v>
      </c>
      <c r="K139" s="87">
        <f t="shared" si="12"/>
        <v>896</v>
      </c>
      <c r="L139" s="87">
        <f t="shared" si="12"/>
        <v>636.16</v>
      </c>
      <c r="M139" s="87">
        <f t="shared" si="12"/>
        <v>456.95999999999992</v>
      </c>
    </row>
    <row r="140" spans="1:13" ht="36.75" customHeight="1" x14ac:dyDescent="0.25">
      <c r="A140" s="64" t="s">
        <v>165</v>
      </c>
      <c r="B140" s="66" t="s">
        <v>166</v>
      </c>
      <c r="C140" s="85">
        <v>520</v>
      </c>
      <c r="D140" s="85">
        <v>300</v>
      </c>
      <c r="E140" s="85">
        <v>220</v>
      </c>
      <c r="F140" s="64" t="s">
        <v>165</v>
      </c>
      <c r="G140" s="66" t="s">
        <v>166</v>
      </c>
      <c r="H140" s="85">
        <v>1550</v>
      </c>
      <c r="I140" s="85">
        <f>H140*58%</f>
        <v>898.99999999999989</v>
      </c>
      <c r="J140" s="85">
        <f>H140*42%</f>
        <v>651</v>
      </c>
      <c r="K140" s="87">
        <f t="shared" si="12"/>
        <v>1085</v>
      </c>
      <c r="L140" s="87">
        <f t="shared" si="12"/>
        <v>629.29999999999984</v>
      </c>
      <c r="M140" s="87">
        <f t="shared" si="12"/>
        <v>455.7</v>
      </c>
    </row>
    <row r="141" spans="1:13" ht="55.5" customHeight="1" x14ac:dyDescent="0.25">
      <c r="A141" s="64" t="s">
        <v>167</v>
      </c>
      <c r="B141" s="66" t="s">
        <v>168</v>
      </c>
      <c r="C141" s="85">
        <v>1300</v>
      </c>
      <c r="D141" s="85">
        <v>700</v>
      </c>
      <c r="E141" s="85">
        <v>380</v>
      </c>
      <c r="F141" s="64" t="s">
        <v>167</v>
      </c>
      <c r="G141" s="66" t="s">
        <v>169</v>
      </c>
      <c r="H141" s="85">
        <v>2300</v>
      </c>
      <c r="I141" s="85">
        <f>H141*54%</f>
        <v>1242</v>
      </c>
      <c r="J141" s="85">
        <f>29%*H141</f>
        <v>667</v>
      </c>
      <c r="K141" s="87">
        <f t="shared" si="12"/>
        <v>1610</v>
      </c>
      <c r="L141" s="87">
        <f t="shared" si="12"/>
        <v>869.4</v>
      </c>
      <c r="M141" s="87">
        <f t="shared" si="12"/>
        <v>466.9</v>
      </c>
    </row>
    <row r="142" spans="1:13" ht="55.5" customHeight="1" x14ac:dyDescent="0.25">
      <c r="A142" s="64"/>
      <c r="B142" s="66"/>
      <c r="C142" s="85"/>
      <c r="D142" s="85"/>
      <c r="E142" s="85"/>
      <c r="F142" s="64" t="s">
        <v>170</v>
      </c>
      <c r="G142" s="66" t="s">
        <v>869</v>
      </c>
      <c r="H142" s="85">
        <v>1680</v>
      </c>
      <c r="I142" s="85">
        <f>H142*54%</f>
        <v>907.2</v>
      </c>
      <c r="J142" s="85">
        <f>29%*H142</f>
        <v>487.2</v>
      </c>
      <c r="K142" s="87">
        <f t="shared" si="12"/>
        <v>1176</v>
      </c>
      <c r="L142" s="87">
        <f t="shared" si="12"/>
        <v>635.04</v>
      </c>
      <c r="M142" s="87">
        <f t="shared" si="12"/>
        <v>341.03999999999996</v>
      </c>
    </row>
    <row r="143" spans="1:13" ht="55.5" customHeight="1" x14ac:dyDescent="0.25">
      <c r="A143" s="64" t="s">
        <v>171</v>
      </c>
      <c r="B143" s="66" t="s">
        <v>172</v>
      </c>
      <c r="C143" s="85">
        <v>900</v>
      </c>
      <c r="D143" s="85">
        <v>650</v>
      </c>
      <c r="E143" s="85">
        <v>450</v>
      </c>
      <c r="F143" s="64" t="s">
        <v>171</v>
      </c>
      <c r="G143" s="66" t="s">
        <v>172</v>
      </c>
      <c r="H143" s="85">
        <f>C143*1.1</f>
        <v>990.00000000000011</v>
      </c>
      <c r="I143" s="85">
        <f>D143*1.1</f>
        <v>715.00000000000011</v>
      </c>
      <c r="J143" s="85">
        <f>E143*1.1</f>
        <v>495.00000000000006</v>
      </c>
      <c r="K143" s="87">
        <f t="shared" si="12"/>
        <v>693</v>
      </c>
      <c r="L143" s="87">
        <f t="shared" si="12"/>
        <v>500.50000000000006</v>
      </c>
      <c r="M143" s="87">
        <f t="shared" si="12"/>
        <v>346.5</v>
      </c>
    </row>
    <row r="144" spans="1:13" ht="86.25" customHeight="1" x14ac:dyDescent="0.25">
      <c r="A144" s="64"/>
      <c r="B144" s="66"/>
      <c r="C144" s="85"/>
      <c r="D144" s="85"/>
      <c r="E144" s="85"/>
      <c r="F144" s="64" t="s">
        <v>173</v>
      </c>
      <c r="G144" s="93" t="s">
        <v>174</v>
      </c>
      <c r="H144" s="85">
        <v>3080</v>
      </c>
      <c r="I144" s="85">
        <f>58%*H144</f>
        <v>1786.3999999999999</v>
      </c>
      <c r="J144" s="85">
        <f>26%*H144</f>
        <v>800.80000000000007</v>
      </c>
      <c r="K144" s="87">
        <f t="shared" si="12"/>
        <v>2156</v>
      </c>
      <c r="L144" s="87">
        <f t="shared" si="12"/>
        <v>1250.4799999999998</v>
      </c>
      <c r="M144" s="87">
        <f t="shared" si="12"/>
        <v>560.56000000000006</v>
      </c>
    </row>
    <row r="145" spans="1:13" ht="85.5" customHeight="1" x14ac:dyDescent="0.25">
      <c r="A145" s="64"/>
      <c r="B145" s="66"/>
      <c r="C145" s="85"/>
      <c r="D145" s="85"/>
      <c r="E145" s="85"/>
      <c r="F145" s="64" t="s">
        <v>175</v>
      </c>
      <c r="G145" s="66" t="s">
        <v>176</v>
      </c>
      <c r="H145" s="85">
        <v>1000</v>
      </c>
      <c r="I145" s="85">
        <f>H145*71%</f>
        <v>710</v>
      </c>
      <c r="J145" s="85">
        <f>H145*58%</f>
        <v>580</v>
      </c>
      <c r="K145" s="87">
        <f t="shared" si="12"/>
        <v>700</v>
      </c>
      <c r="L145" s="87">
        <f t="shared" si="12"/>
        <v>496.99999999999994</v>
      </c>
      <c r="M145" s="87">
        <f t="shared" si="12"/>
        <v>406</v>
      </c>
    </row>
    <row r="146" spans="1:13" ht="44.25" customHeight="1" x14ac:dyDescent="0.25">
      <c r="A146" s="228" t="s">
        <v>177</v>
      </c>
      <c r="B146" s="66" t="s">
        <v>74</v>
      </c>
      <c r="C146" s="85">
        <v>280</v>
      </c>
      <c r="D146" s="85">
        <v>180</v>
      </c>
      <c r="E146" s="85">
        <v>140</v>
      </c>
      <c r="F146" s="228" t="s">
        <v>177</v>
      </c>
      <c r="G146" s="66" t="s">
        <v>74</v>
      </c>
      <c r="H146" s="85">
        <v>550</v>
      </c>
      <c r="I146" s="85">
        <f>H146*64%</f>
        <v>352</v>
      </c>
      <c r="J146" s="85">
        <f>H146*50%</f>
        <v>275</v>
      </c>
      <c r="K146" s="87">
        <f t="shared" si="12"/>
        <v>385</v>
      </c>
      <c r="L146" s="87">
        <f t="shared" si="12"/>
        <v>246.39999999999998</v>
      </c>
      <c r="M146" s="87">
        <f t="shared" si="12"/>
        <v>192.5</v>
      </c>
    </row>
    <row r="147" spans="1:13" ht="44.25" customHeight="1" x14ac:dyDescent="0.25">
      <c r="A147" s="228"/>
      <c r="B147" s="66" t="s">
        <v>75</v>
      </c>
      <c r="C147" s="85">
        <v>220</v>
      </c>
      <c r="D147" s="85">
        <v>150</v>
      </c>
      <c r="E147" s="85">
        <v>120</v>
      </c>
      <c r="F147" s="228"/>
      <c r="G147" s="66" t="s">
        <v>75</v>
      </c>
      <c r="H147" s="85">
        <v>482</v>
      </c>
      <c r="I147" s="85">
        <f>H147*68%</f>
        <v>327.76000000000005</v>
      </c>
      <c r="J147" s="85">
        <f>H147*54%</f>
        <v>260.28000000000003</v>
      </c>
      <c r="K147" s="87">
        <f t="shared" si="12"/>
        <v>337.4</v>
      </c>
      <c r="L147" s="87">
        <f t="shared" si="12"/>
        <v>229.43200000000002</v>
      </c>
      <c r="M147" s="87">
        <f t="shared" si="12"/>
        <v>182.196</v>
      </c>
    </row>
    <row r="148" spans="1:13" ht="44.25" customHeight="1" x14ac:dyDescent="0.25">
      <c r="A148" s="228"/>
      <c r="B148" s="66" t="s">
        <v>76</v>
      </c>
      <c r="C148" s="85">
        <v>200</v>
      </c>
      <c r="D148" s="85">
        <v>130</v>
      </c>
      <c r="E148" s="85">
        <v>100</v>
      </c>
      <c r="F148" s="228"/>
      <c r="G148" s="66" t="s">
        <v>76</v>
      </c>
      <c r="H148" s="85">
        <v>400</v>
      </c>
      <c r="I148" s="85">
        <f>H148*65%</f>
        <v>260</v>
      </c>
      <c r="J148" s="85">
        <f>H148*50%</f>
        <v>200</v>
      </c>
      <c r="K148" s="87">
        <f t="shared" si="12"/>
        <v>280</v>
      </c>
      <c r="L148" s="87">
        <f t="shared" si="12"/>
        <v>182</v>
      </c>
      <c r="M148" s="87">
        <f t="shared" si="12"/>
        <v>140</v>
      </c>
    </row>
    <row r="149" spans="1:13" ht="33" x14ac:dyDescent="0.25">
      <c r="A149" s="64" t="s">
        <v>178</v>
      </c>
      <c r="B149" s="66" t="s">
        <v>27</v>
      </c>
      <c r="C149" s="85">
        <v>120</v>
      </c>
      <c r="D149" s="85">
        <v>100</v>
      </c>
      <c r="E149" s="85">
        <v>90</v>
      </c>
      <c r="F149" s="64" t="s">
        <v>178</v>
      </c>
      <c r="G149" s="66" t="s">
        <v>27</v>
      </c>
      <c r="H149" s="85">
        <f>C149*1.1</f>
        <v>132</v>
      </c>
      <c r="I149" s="85">
        <f>D149*1.1</f>
        <v>110.00000000000001</v>
      </c>
      <c r="J149" s="85">
        <f>E149*1.1</f>
        <v>99.000000000000014</v>
      </c>
      <c r="K149" s="87">
        <f t="shared" si="12"/>
        <v>92.399999999999991</v>
      </c>
      <c r="L149" s="87">
        <f t="shared" si="12"/>
        <v>77</v>
      </c>
      <c r="M149" s="87">
        <f t="shared" si="12"/>
        <v>69.300000000000011</v>
      </c>
    </row>
    <row r="150" spans="1:13" ht="33" x14ac:dyDescent="0.25">
      <c r="A150" s="60">
        <v>10</v>
      </c>
      <c r="B150" s="62" t="s">
        <v>179</v>
      </c>
      <c r="C150" s="85"/>
      <c r="D150" s="85"/>
      <c r="E150" s="85"/>
      <c r="F150" s="60">
        <v>10</v>
      </c>
      <c r="G150" s="62" t="s">
        <v>179</v>
      </c>
      <c r="H150" s="85"/>
      <c r="I150" s="85"/>
      <c r="J150" s="85"/>
      <c r="K150" s="87"/>
      <c r="L150" s="87"/>
      <c r="M150" s="87"/>
    </row>
    <row r="151" spans="1:13" ht="50.25" customHeight="1" x14ac:dyDescent="0.25">
      <c r="A151" s="64" t="s">
        <v>180</v>
      </c>
      <c r="B151" s="62" t="s">
        <v>1131</v>
      </c>
      <c r="C151" s="85">
        <v>2500</v>
      </c>
      <c r="D151" s="85">
        <v>1450</v>
      </c>
      <c r="E151" s="85">
        <v>600</v>
      </c>
      <c r="F151" s="64" t="s">
        <v>180</v>
      </c>
      <c r="G151" s="62" t="s">
        <v>1132</v>
      </c>
      <c r="H151" s="85">
        <v>3800</v>
      </c>
      <c r="I151" s="85">
        <f>D151*1.52</f>
        <v>2204</v>
      </c>
      <c r="J151" s="85">
        <f>E151*1.52</f>
        <v>912</v>
      </c>
      <c r="K151" s="87">
        <f t="shared" si="12"/>
        <v>2660</v>
      </c>
      <c r="L151" s="87">
        <f t="shared" si="12"/>
        <v>1542.8</v>
      </c>
      <c r="M151" s="87">
        <f t="shared" si="12"/>
        <v>638.4</v>
      </c>
    </row>
    <row r="152" spans="1:13" ht="73.5" customHeight="1" x14ac:dyDescent="0.25">
      <c r="A152" s="64" t="s">
        <v>181</v>
      </c>
      <c r="B152" s="62" t="s">
        <v>1133</v>
      </c>
      <c r="C152" s="85">
        <v>3000</v>
      </c>
      <c r="D152" s="85">
        <v>1800</v>
      </c>
      <c r="E152" s="85">
        <v>1000</v>
      </c>
      <c r="F152" s="64" t="s">
        <v>181</v>
      </c>
      <c r="G152" s="62" t="s">
        <v>1134</v>
      </c>
      <c r="H152" s="85">
        <v>3800</v>
      </c>
      <c r="I152" s="85">
        <f>D152*1.27</f>
        <v>2286</v>
      </c>
      <c r="J152" s="85">
        <f>E152*1.27</f>
        <v>1270</v>
      </c>
      <c r="K152" s="87">
        <f t="shared" si="12"/>
        <v>2660</v>
      </c>
      <c r="L152" s="87">
        <f t="shared" si="12"/>
        <v>1600.1999999999998</v>
      </c>
      <c r="M152" s="87">
        <f t="shared" si="12"/>
        <v>889</v>
      </c>
    </row>
    <row r="153" spans="1:13" ht="63" customHeight="1" x14ac:dyDescent="0.25">
      <c r="A153" s="64"/>
      <c r="B153" s="62"/>
      <c r="C153" s="85"/>
      <c r="D153" s="85"/>
      <c r="E153" s="85"/>
      <c r="F153" s="64" t="s">
        <v>881</v>
      </c>
      <c r="G153" s="62" t="s">
        <v>1059</v>
      </c>
      <c r="H153" s="85">
        <v>4620</v>
      </c>
      <c r="I153" s="85">
        <v>2772</v>
      </c>
      <c r="J153" s="85">
        <v>1540</v>
      </c>
      <c r="K153" s="87">
        <f t="shared" si="12"/>
        <v>3234</v>
      </c>
      <c r="L153" s="87">
        <f t="shared" si="12"/>
        <v>1940.3999999999999</v>
      </c>
      <c r="M153" s="87">
        <f t="shared" si="12"/>
        <v>1078</v>
      </c>
    </row>
    <row r="154" spans="1:13" s="24" customFormat="1" ht="57.75" customHeight="1" x14ac:dyDescent="0.25">
      <c r="A154" s="64" t="s">
        <v>182</v>
      </c>
      <c r="B154" s="62" t="s">
        <v>1060</v>
      </c>
      <c r="C154" s="85">
        <v>2300</v>
      </c>
      <c r="D154" s="85">
        <v>1400</v>
      </c>
      <c r="E154" s="85">
        <v>800</v>
      </c>
      <c r="F154" s="64" t="s">
        <v>182</v>
      </c>
      <c r="G154" s="93" t="s">
        <v>1061</v>
      </c>
      <c r="H154" s="85">
        <v>2550</v>
      </c>
      <c r="I154" s="85">
        <f>D154*1.11</f>
        <v>1554.0000000000002</v>
      </c>
      <c r="J154" s="85">
        <f>E154*1.11</f>
        <v>888.00000000000011</v>
      </c>
      <c r="K154" s="87">
        <f t="shared" si="12"/>
        <v>1785</v>
      </c>
      <c r="L154" s="87">
        <f t="shared" si="12"/>
        <v>1087.8000000000002</v>
      </c>
      <c r="M154" s="87">
        <f t="shared" si="12"/>
        <v>621.6</v>
      </c>
    </row>
    <row r="155" spans="1:13" ht="65.25" customHeight="1" x14ac:dyDescent="0.25">
      <c r="A155" s="64" t="s">
        <v>183</v>
      </c>
      <c r="B155" s="62" t="s">
        <v>1062</v>
      </c>
      <c r="C155" s="85">
        <v>1300</v>
      </c>
      <c r="D155" s="85">
        <v>700</v>
      </c>
      <c r="E155" s="85">
        <v>380</v>
      </c>
      <c r="F155" s="64" t="s">
        <v>183</v>
      </c>
      <c r="G155" s="66" t="s">
        <v>1063</v>
      </c>
      <c r="H155" s="85">
        <v>1440</v>
      </c>
      <c r="I155" s="85">
        <f>D155*1.11</f>
        <v>777.00000000000011</v>
      </c>
      <c r="J155" s="85">
        <f>E155*1.11</f>
        <v>421.8</v>
      </c>
      <c r="K155" s="87">
        <f t="shared" si="12"/>
        <v>1007.9999999999999</v>
      </c>
      <c r="L155" s="87">
        <f t="shared" si="12"/>
        <v>543.90000000000009</v>
      </c>
      <c r="M155" s="87">
        <f t="shared" si="12"/>
        <v>295.26</v>
      </c>
    </row>
    <row r="156" spans="1:13" ht="69.75" customHeight="1" x14ac:dyDescent="0.25">
      <c r="A156" s="64" t="s">
        <v>184</v>
      </c>
      <c r="B156" s="62" t="s">
        <v>1064</v>
      </c>
      <c r="C156" s="85">
        <v>1600</v>
      </c>
      <c r="D156" s="85">
        <v>800</v>
      </c>
      <c r="E156" s="85">
        <v>480</v>
      </c>
      <c r="F156" s="64" t="s">
        <v>184</v>
      </c>
      <c r="G156" s="66" t="s">
        <v>1065</v>
      </c>
      <c r="H156" s="85">
        <f t="shared" ref="H156:J158" si="13">C156*1.1</f>
        <v>1760.0000000000002</v>
      </c>
      <c r="I156" s="85">
        <f t="shared" si="13"/>
        <v>880.00000000000011</v>
      </c>
      <c r="J156" s="85">
        <f t="shared" si="13"/>
        <v>528</v>
      </c>
      <c r="K156" s="87">
        <f t="shared" si="12"/>
        <v>1232</v>
      </c>
      <c r="L156" s="87">
        <f t="shared" si="12"/>
        <v>616</v>
      </c>
      <c r="M156" s="87">
        <f t="shared" si="12"/>
        <v>369.59999999999997</v>
      </c>
    </row>
    <row r="157" spans="1:13" ht="64.5" customHeight="1" x14ac:dyDescent="0.25">
      <c r="A157" s="64" t="s">
        <v>185</v>
      </c>
      <c r="B157" s="62" t="s">
        <v>1066</v>
      </c>
      <c r="C157" s="85">
        <v>2500</v>
      </c>
      <c r="D157" s="85">
        <v>1450</v>
      </c>
      <c r="E157" s="85">
        <v>600</v>
      </c>
      <c r="F157" s="64" t="s">
        <v>185</v>
      </c>
      <c r="G157" s="99" t="s">
        <v>1067</v>
      </c>
      <c r="H157" s="85">
        <f t="shared" si="13"/>
        <v>2750</v>
      </c>
      <c r="I157" s="100">
        <f t="shared" si="13"/>
        <v>1595.0000000000002</v>
      </c>
      <c r="J157" s="100">
        <f t="shared" si="13"/>
        <v>660</v>
      </c>
      <c r="K157" s="87">
        <f t="shared" si="12"/>
        <v>1924.9999999999998</v>
      </c>
      <c r="L157" s="87">
        <f t="shared" si="12"/>
        <v>1116.5</v>
      </c>
      <c r="M157" s="87">
        <f t="shared" si="12"/>
        <v>461.99999999999994</v>
      </c>
    </row>
    <row r="158" spans="1:13" ht="54.75" customHeight="1" x14ac:dyDescent="0.25">
      <c r="A158" s="64" t="s">
        <v>186</v>
      </c>
      <c r="B158" s="62" t="s">
        <v>1068</v>
      </c>
      <c r="C158" s="85">
        <v>1300</v>
      </c>
      <c r="D158" s="85">
        <v>700</v>
      </c>
      <c r="E158" s="85">
        <v>380</v>
      </c>
      <c r="F158" s="64" t="s">
        <v>186</v>
      </c>
      <c r="G158" s="101" t="s">
        <v>1069</v>
      </c>
      <c r="H158" s="85">
        <f t="shared" si="13"/>
        <v>1430.0000000000002</v>
      </c>
      <c r="I158" s="85">
        <f t="shared" si="13"/>
        <v>770.00000000000011</v>
      </c>
      <c r="J158" s="85">
        <f t="shared" si="13"/>
        <v>418.00000000000006</v>
      </c>
      <c r="K158" s="87">
        <f t="shared" si="12"/>
        <v>1001.0000000000001</v>
      </c>
      <c r="L158" s="87">
        <f t="shared" si="12"/>
        <v>539</v>
      </c>
      <c r="M158" s="87">
        <f t="shared" si="12"/>
        <v>292.60000000000002</v>
      </c>
    </row>
    <row r="159" spans="1:13" ht="53.25" customHeight="1" x14ac:dyDescent="0.25">
      <c r="A159" s="64"/>
      <c r="B159" s="62"/>
      <c r="C159" s="85"/>
      <c r="D159" s="85"/>
      <c r="E159" s="85"/>
      <c r="F159" s="64" t="s">
        <v>187</v>
      </c>
      <c r="G159" s="101" t="s">
        <v>1070</v>
      </c>
      <c r="H159" s="85">
        <v>2155</v>
      </c>
      <c r="I159" s="85">
        <f>H159*54%</f>
        <v>1163.7</v>
      </c>
      <c r="J159" s="85">
        <f>H159*29%</f>
        <v>624.94999999999993</v>
      </c>
      <c r="K159" s="87">
        <f t="shared" si="12"/>
        <v>1508.5</v>
      </c>
      <c r="L159" s="87">
        <f t="shared" si="12"/>
        <v>814.59</v>
      </c>
      <c r="M159" s="87">
        <f t="shared" si="12"/>
        <v>437.46499999999992</v>
      </c>
    </row>
    <row r="160" spans="1:13" ht="66.75" customHeight="1" x14ac:dyDescent="0.25">
      <c r="A160" s="64" t="s">
        <v>188</v>
      </c>
      <c r="B160" s="66" t="s">
        <v>189</v>
      </c>
      <c r="C160" s="85">
        <v>600</v>
      </c>
      <c r="D160" s="85">
        <v>350</v>
      </c>
      <c r="E160" s="85">
        <v>250</v>
      </c>
      <c r="F160" s="64" t="s">
        <v>188</v>
      </c>
      <c r="G160" s="66" t="s">
        <v>190</v>
      </c>
      <c r="H160" s="85">
        <f>C160*1.1</f>
        <v>660</v>
      </c>
      <c r="I160" s="85">
        <f>D160*1.1</f>
        <v>385.00000000000006</v>
      </c>
      <c r="J160" s="85">
        <f>E160*1.1</f>
        <v>275</v>
      </c>
      <c r="K160" s="87">
        <f t="shared" si="12"/>
        <v>461.99999999999994</v>
      </c>
      <c r="L160" s="87">
        <f t="shared" si="12"/>
        <v>269.5</v>
      </c>
      <c r="M160" s="87">
        <f t="shared" si="12"/>
        <v>192.5</v>
      </c>
    </row>
    <row r="161" spans="1:13" ht="65.25" customHeight="1" x14ac:dyDescent="0.25">
      <c r="A161" s="64" t="s">
        <v>191</v>
      </c>
      <c r="B161" s="66" t="s">
        <v>192</v>
      </c>
      <c r="C161" s="85">
        <v>550</v>
      </c>
      <c r="D161" s="85">
        <v>275</v>
      </c>
      <c r="E161" s="85">
        <v>165</v>
      </c>
      <c r="F161" s="64" t="s">
        <v>191</v>
      </c>
      <c r="G161" s="66" t="s">
        <v>192</v>
      </c>
      <c r="H161" s="85">
        <v>550</v>
      </c>
      <c r="I161" s="85">
        <v>275</v>
      </c>
      <c r="J161" s="85">
        <v>165</v>
      </c>
      <c r="K161" s="87">
        <f t="shared" si="12"/>
        <v>385</v>
      </c>
      <c r="L161" s="87">
        <f t="shared" si="12"/>
        <v>192.5</v>
      </c>
      <c r="M161" s="87">
        <f t="shared" si="12"/>
        <v>115.49999999999999</v>
      </c>
    </row>
    <row r="162" spans="1:13" ht="74.25" customHeight="1" x14ac:dyDescent="0.25">
      <c r="A162" s="64"/>
      <c r="B162" s="66"/>
      <c r="C162" s="85"/>
      <c r="D162" s="85"/>
      <c r="E162" s="85"/>
      <c r="F162" s="64" t="s">
        <v>193</v>
      </c>
      <c r="G162" s="66" t="s">
        <v>194</v>
      </c>
      <c r="H162" s="85">
        <v>3080</v>
      </c>
      <c r="I162" s="85">
        <f>58%*H162</f>
        <v>1786.3999999999999</v>
      </c>
      <c r="J162" s="85">
        <f>26%*H162</f>
        <v>800.80000000000007</v>
      </c>
      <c r="K162" s="87">
        <f t="shared" si="12"/>
        <v>2156</v>
      </c>
      <c r="L162" s="87">
        <f t="shared" si="12"/>
        <v>1250.4799999999998</v>
      </c>
      <c r="M162" s="87">
        <f t="shared" si="12"/>
        <v>560.56000000000006</v>
      </c>
    </row>
    <row r="163" spans="1:13" ht="54" customHeight="1" x14ac:dyDescent="0.25">
      <c r="A163" s="64"/>
      <c r="B163" s="66"/>
      <c r="C163" s="85"/>
      <c r="D163" s="85"/>
      <c r="E163" s="85"/>
      <c r="F163" s="64" t="s">
        <v>195</v>
      </c>
      <c r="G163" s="66" t="s">
        <v>196</v>
      </c>
      <c r="H163" s="85">
        <v>1250</v>
      </c>
      <c r="I163" s="85">
        <f>H163*58%</f>
        <v>725</v>
      </c>
      <c r="J163" s="85">
        <f>H163*42%</f>
        <v>525</v>
      </c>
      <c r="K163" s="87">
        <f t="shared" si="12"/>
        <v>875</v>
      </c>
      <c r="L163" s="87">
        <f t="shared" si="12"/>
        <v>507.49999999999994</v>
      </c>
      <c r="M163" s="87">
        <f t="shared" si="12"/>
        <v>367.5</v>
      </c>
    </row>
    <row r="164" spans="1:13" ht="49.5" x14ac:dyDescent="0.25">
      <c r="A164" s="64"/>
      <c r="B164" s="66"/>
      <c r="C164" s="85"/>
      <c r="D164" s="85"/>
      <c r="E164" s="85"/>
      <c r="F164" s="64" t="s">
        <v>197</v>
      </c>
      <c r="G164" s="93" t="s">
        <v>198</v>
      </c>
      <c r="H164" s="85">
        <v>500</v>
      </c>
      <c r="I164" s="85">
        <f>H164*54%</f>
        <v>270</v>
      </c>
      <c r="J164" s="85">
        <f>H164*29%</f>
        <v>145</v>
      </c>
      <c r="K164" s="87">
        <f t="shared" si="12"/>
        <v>350</v>
      </c>
      <c r="L164" s="87">
        <f t="shared" si="12"/>
        <v>189</v>
      </c>
      <c r="M164" s="87">
        <f t="shared" si="12"/>
        <v>101.5</v>
      </c>
    </row>
    <row r="165" spans="1:13" ht="49.5" x14ac:dyDescent="0.25">
      <c r="A165" s="64"/>
      <c r="B165" s="66"/>
      <c r="C165" s="85"/>
      <c r="D165" s="85"/>
      <c r="E165" s="85"/>
      <c r="F165" s="64" t="s">
        <v>199</v>
      </c>
      <c r="G165" s="93" t="s">
        <v>200</v>
      </c>
      <c r="H165" s="85">
        <v>500</v>
      </c>
      <c r="I165" s="85">
        <f>H165*54%</f>
        <v>270</v>
      </c>
      <c r="J165" s="85">
        <f>H165*29%</f>
        <v>145</v>
      </c>
      <c r="K165" s="87">
        <f t="shared" si="12"/>
        <v>350</v>
      </c>
      <c r="L165" s="87">
        <f t="shared" si="12"/>
        <v>189</v>
      </c>
      <c r="M165" s="87">
        <f t="shared" si="12"/>
        <v>101.5</v>
      </c>
    </row>
    <row r="166" spans="1:13" ht="36.75" customHeight="1" x14ac:dyDescent="0.25">
      <c r="A166" s="228" t="s">
        <v>201</v>
      </c>
      <c r="B166" s="66" t="s">
        <v>74</v>
      </c>
      <c r="C166" s="85">
        <v>350</v>
      </c>
      <c r="D166" s="85">
        <v>240</v>
      </c>
      <c r="E166" s="85">
        <v>160</v>
      </c>
      <c r="F166" s="228" t="s">
        <v>201</v>
      </c>
      <c r="G166" s="66" t="s">
        <v>74</v>
      </c>
      <c r="H166" s="85">
        <v>600</v>
      </c>
      <c r="I166" s="85">
        <f>H166*69%</f>
        <v>413.99999999999994</v>
      </c>
      <c r="J166" s="85">
        <f>H166*46%</f>
        <v>276</v>
      </c>
      <c r="K166" s="87">
        <f t="shared" si="12"/>
        <v>420</v>
      </c>
      <c r="L166" s="87">
        <f t="shared" si="12"/>
        <v>289.79999999999995</v>
      </c>
      <c r="M166" s="87">
        <f t="shared" si="12"/>
        <v>193.2</v>
      </c>
    </row>
    <row r="167" spans="1:13" ht="36.75" customHeight="1" x14ac:dyDescent="0.25">
      <c r="A167" s="228"/>
      <c r="B167" s="66" t="s">
        <v>75</v>
      </c>
      <c r="C167" s="85">
        <v>280</v>
      </c>
      <c r="D167" s="85">
        <v>170</v>
      </c>
      <c r="E167" s="85">
        <v>140</v>
      </c>
      <c r="F167" s="228"/>
      <c r="G167" s="66" t="s">
        <v>75</v>
      </c>
      <c r="H167" s="85">
        <v>550</v>
      </c>
      <c r="I167" s="85">
        <f>H167*61%</f>
        <v>335.5</v>
      </c>
      <c r="J167" s="85">
        <f>H167*50%</f>
        <v>275</v>
      </c>
      <c r="K167" s="87">
        <f t="shared" si="12"/>
        <v>385</v>
      </c>
      <c r="L167" s="87">
        <f t="shared" si="12"/>
        <v>234.85</v>
      </c>
      <c r="M167" s="87">
        <f t="shared" si="12"/>
        <v>192.5</v>
      </c>
    </row>
    <row r="168" spans="1:13" ht="36.75" customHeight="1" x14ac:dyDescent="0.25">
      <c r="A168" s="228"/>
      <c r="B168" s="66" t="s">
        <v>76</v>
      </c>
      <c r="C168" s="85">
        <v>220</v>
      </c>
      <c r="D168" s="85">
        <v>140</v>
      </c>
      <c r="E168" s="85">
        <v>100</v>
      </c>
      <c r="F168" s="228"/>
      <c r="G168" s="66" t="s">
        <v>76</v>
      </c>
      <c r="H168" s="85">
        <v>500</v>
      </c>
      <c r="I168" s="85">
        <f>H168*64%</f>
        <v>320</v>
      </c>
      <c r="J168" s="85">
        <f>H168*45%</f>
        <v>225</v>
      </c>
      <c r="K168" s="87">
        <f t="shared" si="12"/>
        <v>350</v>
      </c>
      <c r="L168" s="87">
        <f t="shared" si="12"/>
        <v>224</v>
      </c>
      <c r="M168" s="87">
        <f t="shared" si="12"/>
        <v>157.5</v>
      </c>
    </row>
    <row r="169" spans="1:13" ht="33" x14ac:dyDescent="0.25">
      <c r="A169" s="64" t="s">
        <v>202</v>
      </c>
      <c r="B169" s="66" t="s">
        <v>27</v>
      </c>
      <c r="C169" s="85">
        <v>120</v>
      </c>
      <c r="D169" s="85">
        <v>100</v>
      </c>
      <c r="E169" s="85">
        <v>90</v>
      </c>
      <c r="F169" s="64" t="s">
        <v>202</v>
      </c>
      <c r="G169" s="66" t="s">
        <v>27</v>
      </c>
      <c r="H169" s="85">
        <f>C169*1.1</f>
        <v>132</v>
      </c>
      <c r="I169" s="85">
        <f>D169*1.1</f>
        <v>110.00000000000001</v>
      </c>
      <c r="J169" s="85">
        <f>E169*1.1</f>
        <v>99.000000000000014</v>
      </c>
      <c r="K169" s="87">
        <f t="shared" si="12"/>
        <v>92.399999999999991</v>
      </c>
      <c r="L169" s="87">
        <f t="shared" si="12"/>
        <v>77</v>
      </c>
      <c r="M169" s="87">
        <f t="shared" si="12"/>
        <v>69.300000000000011</v>
      </c>
    </row>
    <row r="170" spans="1:13" ht="16.5" x14ac:dyDescent="0.25">
      <c r="A170" s="60">
        <v>11</v>
      </c>
      <c r="B170" s="62" t="s">
        <v>203</v>
      </c>
      <c r="C170" s="85"/>
      <c r="D170" s="85"/>
      <c r="E170" s="85"/>
      <c r="F170" s="60">
        <v>11</v>
      </c>
      <c r="G170" s="62" t="s">
        <v>203</v>
      </c>
      <c r="H170" s="85"/>
      <c r="I170" s="85"/>
      <c r="J170" s="85"/>
      <c r="K170" s="87"/>
      <c r="L170" s="87"/>
      <c r="M170" s="87"/>
    </row>
    <row r="171" spans="1:13" ht="64.5" customHeight="1" x14ac:dyDescent="0.25">
      <c r="A171" s="64" t="s">
        <v>204</v>
      </c>
      <c r="B171" s="62" t="s">
        <v>1071</v>
      </c>
      <c r="C171" s="85">
        <v>2200</v>
      </c>
      <c r="D171" s="85">
        <v>1200</v>
      </c>
      <c r="E171" s="85">
        <v>600</v>
      </c>
      <c r="F171" s="64" t="s">
        <v>204</v>
      </c>
      <c r="G171" s="62" t="s">
        <v>1071</v>
      </c>
      <c r="H171" s="85">
        <v>3400</v>
      </c>
      <c r="I171" s="85">
        <f>H171*55%</f>
        <v>1870.0000000000002</v>
      </c>
      <c r="J171" s="85">
        <f>H171*27%</f>
        <v>918.00000000000011</v>
      </c>
      <c r="K171" s="87">
        <f t="shared" si="12"/>
        <v>2380</v>
      </c>
      <c r="L171" s="87">
        <f t="shared" si="12"/>
        <v>1309</v>
      </c>
      <c r="M171" s="87">
        <f t="shared" si="12"/>
        <v>642.6</v>
      </c>
    </row>
    <row r="172" spans="1:13" ht="50.25" customHeight="1" x14ac:dyDescent="0.25">
      <c r="A172" s="64" t="s">
        <v>205</v>
      </c>
      <c r="B172" s="62" t="s">
        <v>1072</v>
      </c>
      <c r="C172" s="85">
        <v>2550</v>
      </c>
      <c r="D172" s="85">
        <v>1450</v>
      </c>
      <c r="E172" s="85">
        <v>700</v>
      </c>
      <c r="F172" s="64" t="s">
        <v>205</v>
      </c>
      <c r="G172" s="62" t="s">
        <v>1072</v>
      </c>
      <c r="H172" s="85">
        <f t="shared" ref="H172:J173" si="14">C172*1.1</f>
        <v>2805</v>
      </c>
      <c r="I172" s="85">
        <f t="shared" si="14"/>
        <v>1595.0000000000002</v>
      </c>
      <c r="J172" s="85">
        <f t="shared" si="14"/>
        <v>770.00000000000011</v>
      </c>
      <c r="K172" s="87">
        <f t="shared" si="12"/>
        <v>1963.4999999999998</v>
      </c>
      <c r="L172" s="87">
        <f t="shared" si="12"/>
        <v>1116.5</v>
      </c>
      <c r="M172" s="87">
        <f t="shared" si="12"/>
        <v>539</v>
      </c>
    </row>
    <row r="173" spans="1:13" ht="48.75" customHeight="1" x14ac:dyDescent="0.25">
      <c r="A173" s="64" t="s">
        <v>206</v>
      </c>
      <c r="B173" s="62" t="s">
        <v>1073</v>
      </c>
      <c r="C173" s="85">
        <v>1700</v>
      </c>
      <c r="D173" s="85">
        <v>850</v>
      </c>
      <c r="E173" s="85">
        <v>500</v>
      </c>
      <c r="F173" s="64" t="s">
        <v>206</v>
      </c>
      <c r="G173" s="62" t="s">
        <v>1073</v>
      </c>
      <c r="H173" s="85">
        <f t="shared" si="14"/>
        <v>1870.0000000000002</v>
      </c>
      <c r="I173" s="85">
        <f t="shared" si="14"/>
        <v>935.00000000000011</v>
      </c>
      <c r="J173" s="85">
        <f t="shared" si="14"/>
        <v>550</v>
      </c>
      <c r="K173" s="87">
        <f t="shared" si="12"/>
        <v>1309</v>
      </c>
      <c r="L173" s="87">
        <f t="shared" si="12"/>
        <v>654.5</v>
      </c>
      <c r="M173" s="87">
        <f t="shared" si="12"/>
        <v>385</v>
      </c>
    </row>
    <row r="174" spans="1:13" ht="105" customHeight="1" x14ac:dyDescent="0.25">
      <c r="A174" s="64" t="s">
        <v>207</v>
      </c>
      <c r="B174" s="62" t="s">
        <v>1074</v>
      </c>
      <c r="C174" s="85">
        <v>700</v>
      </c>
      <c r="D174" s="85">
        <v>420</v>
      </c>
      <c r="E174" s="85">
        <v>280</v>
      </c>
      <c r="F174" s="64" t="s">
        <v>207</v>
      </c>
      <c r="G174" s="66" t="s">
        <v>208</v>
      </c>
      <c r="H174" s="85">
        <v>1310</v>
      </c>
      <c r="I174" s="85">
        <f>H174*60%</f>
        <v>786</v>
      </c>
      <c r="J174" s="85">
        <f>H174*40%</f>
        <v>524</v>
      </c>
      <c r="K174" s="87">
        <f t="shared" si="12"/>
        <v>916.99999999999989</v>
      </c>
      <c r="L174" s="87">
        <f t="shared" si="12"/>
        <v>550.19999999999993</v>
      </c>
      <c r="M174" s="87">
        <f t="shared" si="12"/>
        <v>366.79999999999995</v>
      </c>
    </row>
    <row r="175" spans="1:13" ht="66.75" customHeight="1" x14ac:dyDescent="0.25">
      <c r="A175" s="64" t="s">
        <v>209</v>
      </c>
      <c r="B175" s="62" t="s">
        <v>1075</v>
      </c>
      <c r="C175" s="85">
        <v>700</v>
      </c>
      <c r="D175" s="85">
        <v>420</v>
      </c>
      <c r="E175" s="85">
        <v>280</v>
      </c>
      <c r="F175" s="64" t="s">
        <v>209</v>
      </c>
      <c r="G175" s="62" t="s">
        <v>1075</v>
      </c>
      <c r="H175" s="85">
        <v>1310</v>
      </c>
      <c r="I175" s="85">
        <f>H175*60%</f>
        <v>786</v>
      </c>
      <c r="J175" s="85">
        <f>H175*40%</f>
        <v>524</v>
      </c>
      <c r="K175" s="87">
        <f t="shared" si="12"/>
        <v>916.99999999999989</v>
      </c>
      <c r="L175" s="87">
        <f t="shared" si="12"/>
        <v>550.19999999999993</v>
      </c>
      <c r="M175" s="87">
        <f t="shared" si="12"/>
        <v>366.79999999999995</v>
      </c>
    </row>
    <row r="176" spans="1:13" ht="61.5" customHeight="1" x14ac:dyDescent="0.25">
      <c r="A176" s="64" t="s">
        <v>210</v>
      </c>
      <c r="B176" s="62" t="s">
        <v>1076</v>
      </c>
      <c r="C176" s="85">
        <v>420</v>
      </c>
      <c r="D176" s="85">
        <v>300</v>
      </c>
      <c r="E176" s="85">
        <v>200</v>
      </c>
      <c r="F176" s="64" t="s">
        <v>210</v>
      </c>
      <c r="G176" s="62" t="s">
        <v>1076</v>
      </c>
      <c r="H176" s="85">
        <v>800</v>
      </c>
      <c r="I176" s="85">
        <f>H176*41%</f>
        <v>328</v>
      </c>
      <c r="J176" s="85">
        <f>H176*28%</f>
        <v>224.00000000000003</v>
      </c>
      <c r="K176" s="87">
        <f t="shared" si="12"/>
        <v>560</v>
      </c>
      <c r="L176" s="87">
        <f t="shared" si="12"/>
        <v>229.6</v>
      </c>
      <c r="M176" s="87">
        <f t="shared" si="12"/>
        <v>156.80000000000001</v>
      </c>
    </row>
    <row r="177" spans="1:13" ht="39" customHeight="1" x14ac:dyDescent="0.25">
      <c r="A177" s="64" t="s">
        <v>211</v>
      </c>
      <c r="B177" s="66" t="s">
        <v>212</v>
      </c>
      <c r="C177" s="85">
        <v>420</v>
      </c>
      <c r="D177" s="85">
        <v>300</v>
      </c>
      <c r="E177" s="85">
        <v>200</v>
      </c>
      <c r="F177" s="64" t="s">
        <v>211</v>
      </c>
      <c r="G177" s="93" t="s">
        <v>213</v>
      </c>
      <c r="H177" s="85">
        <v>800</v>
      </c>
      <c r="I177" s="85">
        <f>H177*41%</f>
        <v>328</v>
      </c>
      <c r="J177" s="85">
        <f>H177*28%</f>
        <v>224.00000000000003</v>
      </c>
      <c r="K177" s="87">
        <f t="shared" si="12"/>
        <v>560</v>
      </c>
      <c r="L177" s="87">
        <f t="shared" si="12"/>
        <v>229.6</v>
      </c>
      <c r="M177" s="87">
        <f t="shared" si="12"/>
        <v>156.80000000000001</v>
      </c>
    </row>
    <row r="178" spans="1:13" ht="70.5" customHeight="1" x14ac:dyDescent="0.25">
      <c r="A178" s="64" t="s">
        <v>214</v>
      </c>
      <c r="B178" s="62" t="s">
        <v>1077</v>
      </c>
      <c r="C178" s="85">
        <v>380</v>
      </c>
      <c r="D178" s="85">
        <v>280</v>
      </c>
      <c r="E178" s="85">
        <v>200</v>
      </c>
      <c r="F178" s="64" t="s">
        <v>214</v>
      </c>
      <c r="G178" s="66" t="s">
        <v>215</v>
      </c>
      <c r="H178" s="85">
        <v>740</v>
      </c>
      <c r="I178" s="85">
        <f>H178*42%</f>
        <v>310.8</v>
      </c>
      <c r="J178" s="85">
        <f>H178*30%</f>
        <v>222</v>
      </c>
      <c r="K178" s="87">
        <f t="shared" si="12"/>
        <v>518</v>
      </c>
      <c r="L178" s="87">
        <f t="shared" si="12"/>
        <v>217.56</v>
      </c>
      <c r="M178" s="87">
        <f t="shared" si="12"/>
        <v>155.39999999999998</v>
      </c>
    </row>
    <row r="179" spans="1:13" ht="72.75" customHeight="1" x14ac:dyDescent="0.25">
      <c r="A179" s="64"/>
      <c r="B179" s="62"/>
      <c r="C179" s="85"/>
      <c r="D179" s="85"/>
      <c r="E179" s="85"/>
      <c r="F179" s="64" t="s">
        <v>216</v>
      </c>
      <c r="G179" s="93" t="s">
        <v>217</v>
      </c>
      <c r="H179" s="85">
        <v>1000</v>
      </c>
      <c r="I179" s="85">
        <f>H179*60%</f>
        <v>600</v>
      </c>
      <c r="J179" s="85">
        <f>H179*40%</f>
        <v>400</v>
      </c>
      <c r="K179" s="87">
        <f t="shared" si="12"/>
        <v>700</v>
      </c>
      <c r="L179" s="87">
        <f t="shared" si="12"/>
        <v>420</v>
      </c>
      <c r="M179" s="87">
        <f t="shared" si="12"/>
        <v>280</v>
      </c>
    </row>
    <row r="180" spans="1:13" ht="42.75" customHeight="1" x14ac:dyDescent="0.25">
      <c r="A180" s="228" t="s">
        <v>218</v>
      </c>
      <c r="B180" s="66" t="s">
        <v>74</v>
      </c>
      <c r="C180" s="85">
        <v>320</v>
      </c>
      <c r="D180" s="85">
        <v>200</v>
      </c>
      <c r="E180" s="85">
        <v>150</v>
      </c>
      <c r="F180" s="228" t="s">
        <v>218</v>
      </c>
      <c r="G180" s="66" t="s">
        <v>74</v>
      </c>
      <c r="H180" s="85">
        <v>600</v>
      </c>
      <c r="I180" s="85">
        <f>H180*63%</f>
        <v>378</v>
      </c>
      <c r="J180" s="85">
        <f>H180*47%</f>
        <v>282</v>
      </c>
      <c r="K180" s="87">
        <f t="shared" si="12"/>
        <v>420</v>
      </c>
      <c r="L180" s="87">
        <f t="shared" si="12"/>
        <v>264.59999999999997</v>
      </c>
      <c r="M180" s="87">
        <f t="shared" si="12"/>
        <v>197.39999999999998</v>
      </c>
    </row>
    <row r="181" spans="1:13" ht="42.75" customHeight="1" x14ac:dyDescent="0.25">
      <c r="A181" s="228"/>
      <c r="B181" s="66" t="s">
        <v>75</v>
      </c>
      <c r="C181" s="85">
        <v>250</v>
      </c>
      <c r="D181" s="85">
        <v>180</v>
      </c>
      <c r="E181" s="85">
        <v>130</v>
      </c>
      <c r="F181" s="228"/>
      <c r="G181" s="66" t="s">
        <v>75</v>
      </c>
      <c r="H181" s="85">
        <v>571</v>
      </c>
      <c r="I181" s="85">
        <f>H181*72%</f>
        <v>411.12</v>
      </c>
      <c r="J181" s="85">
        <f>H181*52%</f>
        <v>296.92</v>
      </c>
      <c r="K181" s="87">
        <f t="shared" si="12"/>
        <v>399.7</v>
      </c>
      <c r="L181" s="87">
        <f t="shared" si="12"/>
        <v>287.78399999999999</v>
      </c>
      <c r="M181" s="87">
        <f t="shared" si="12"/>
        <v>207.84399999999999</v>
      </c>
    </row>
    <row r="182" spans="1:13" ht="42.75" customHeight="1" x14ac:dyDescent="0.25">
      <c r="A182" s="228"/>
      <c r="B182" s="66" t="s">
        <v>76</v>
      </c>
      <c r="C182" s="85">
        <v>200</v>
      </c>
      <c r="D182" s="85">
        <v>130</v>
      </c>
      <c r="E182" s="85">
        <v>100</v>
      </c>
      <c r="F182" s="228"/>
      <c r="G182" s="66" t="s">
        <v>76</v>
      </c>
      <c r="H182" s="85">
        <v>400</v>
      </c>
      <c r="I182" s="85">
        <f>H182*65%</f>
        <v>260</v>
      </c>
      <c r="J182" s="85">
        <f>H182*50%</f>
        <v>200</v>
      </c>
      <c r="K182" s="87">
        <f t="shared" si="12"/>
        <v>280</v>
      </c>
      <c r="L182" s="87">
        <f t="shared" si="12"/>
        <v>182</v>
      </c>
      <c r="M182" s="87">
        <f t="shared" si="12"/>
        <v>140</v>
      </c>
    </row>
    <row r="183" spans="1:13" ht="33" x14ac:dyDescent="0.25">
      <c r="A183" s="64" t="s">
        <v>219</v>
      </c>
      <c r="B183" s="66" t="s">
        <v>27</v>
      </c>
      <c r="C183" s="85">
        <v>120</v>
      </c>
      <c r="D183" s="85">
        <v>100</v>
      </c>
      <c r="E183" s="85">
        <v>90</v>
      </c>
      <c r="F183" s="64" t="s">
        <v>219</v>
      </c>
      <c r="G183" s="66" t="s">
        <v>27</v>
      </c>
      <c r="H183" s="85">
        <f>C183*1.1</f>
        <v>132</v>
      </c>
      <c r="I183" s="85">
        <f>D183*1.1</f>
        <v>110.00000000000001</v>
      </c>
      <c r="J183" s="85">
        <f>E183*1.1</f>
        <v>99.000000000000014</v>
      </c>
      <c r="K183" s="87">
        <f t="shared" si="12"/>
        <v>92.399999999999991</v>
      </c>
      <c r="L183" s="87">
        <f t="shared" si="12"/>
        <v>77</v>
      </c>
      <c r="M183" s="87">
        <f t="shared" si="12"/>
        <v>69.300000000000011</v>
      </c>
    </row>
    <row r="184" spans="1:13" ht="27.75" customHeight="1" x14ac:dyDescent="0.25">
      <c r="A184" s="60">
        <v>12</v>
      </c>
      <c r="B184" s="62" t="s">
        <v>220</v>
      </c>
      <c r="C184" s="85"/>
      <c r="D184" s="85"/>
      <c r="E184" s="85"/>
      <c r="F184" s="60">
        <v>12</v>
      </c>
      <c r="G184" s="62" t="s">
        <v>220</v>
      </c>
      <c r="H184" s="85"/>
      <c r="I184" s="85"/>
      <c r="J184" s="85"/>
      <c r="K184" s="87"/>
      <c r="L184" s="87"/>
      <c r="M184" s="87"/>
    </row>
    <row r="185" spans="1:13" ht="73.5" customHeight="1" x14ac:dyDescent="0.25">
      <c r="A185" s="64" t="s">
        <v>221</v>
      </c>
      <c r="B185" s="62" t="s">
        <v>1078</v>
      </c>
      <c r="C185" s="85">
        <v>1800</v>
      </c>
      <c r="D185" s="85">
        <v>1000</v>
      </c>
      <c r="E185" s="85">
        <v>550</v>
      </c>
      <c r="F185" s="64" t="s">
        <v>221</v>
      </c>
      <c r="G185" s="62" t="s">
        <v>1078</v>
      </c>
      <c r="H185" s="85">
        <f t="shared" ref="H185:J186" si="15">C185*1.1</f>
        <v>1980.0000000000002</v>
      </c>
      <c r="I185" s="85">
        <f t="shared" si="15"/>
        <v>1100</v>
      </c>
      <c r="J185" s="85">
        <f t="shared" si="15"/>
        <v>605</v>
      </c>
      <c r="K185" s="87">
        <f t="shared" si="12"/>
        <v>1386</v>
      </c>
      <c r="L185" s="87">
        <f t="shared" si="12"/>
        <v>770</v>
      </c>
      <c r="M185" s="87">
        <f t="shared" si="12"/>
        <v>423.5</v>
      </c>
    </row>
    <row r="186" spans="1:13" ht="50.25" customHeight="1" x14ac:dyDescent="0.25">
      <c r="A186" s="64" t="s">
        <v>222</v>
      </c>
      <c r="B186" s="62" t="s">
        <v>1079</v>
      </c>
      <c r="C186" s="85">
        <v>550</v>
      </c>
      <c r="D186" s="85">
        <v>350</v>
      </c>
      <c r="E186" s="85">
        <v>250</v>
      </c>
      <c r="F186" s="64" t="s">
        <v>222</v>
      </c>
      <c r="G186" s="62" t="s">
        <v>1079</v>
      </c>
      <c r="H186" s="85">
        <f t="shared" si="15"/>
        <v>605</v>
      </c>
      <c r="I186" s="85">
        <f t="shared" si="15"/>
        <v>385.00000000000006</v>
      </c>
      <c r="J186" s="85">
        <f t="shared" si="15"/>
        <v>275</v>
      </c>
      <c r="K186" s="87">
        <f t="shared" si="12"/>
        <v>423.5</v>
      </c>
      <c r="L186" s="87">
        <f t="shared" si="12"/>
        <v>269.5</v>
      </c>
      <c r="M186" s="87">
        <f t="shared" si="12"/>
        <v>192.5</v>
      </c>
    </row>
    <row r="187" spans="1:13" ht="106.5" customHeight="1" x14ac:dyDescent="0.25">
      <c r="A187" s="64" t="s">
        <v>223</v>
      </c>
      <c r="B187" s="62" t="s">
        <v>1080</v>
      </c>
      <c r="C187" s="85">
        <v>2000</v>
      </c>
      <c r="D187" s="85">
        <v>1150</v>
      </c>
      <c r="E187" s="85">
        <v>600</v>
      </c>
      <c r="F187" s="64" t="s">
        <v>223</v>
      </c>
      <c r="G187" s="62" t="s">
        <v>1080</v>
      </c>
      <c r="H187" s="85">
        <v>3150</v>
      </c>
      <c r="I187" s="85">
        <f>H187*58%</f>
        <v>1826.9999999999998</v>
      </c>
      <c r="J187" s="85">
        <f>H187*30%</f>
        <v>945</v>
      </c>
      <c r="K187" s="87">
        <f t="shared" si="12"/>
        <v>2205</v>
      </c>
      <c r="L187" s="87">
        <f t="shared" si="12"/>
        <v>1278.8999999999999</v>
      </c>
      <c r="M187" s="87">
        <f t="shared" si="12"/>
        <v>661.5</v>
      </c>
    </row>
    <row r="188" spans="1:13" ht="107.25" customHeight="1" x14ac:dyDescent="0.25">
      <c r="A188" s="64" t="s">
        <v>224</v>
      </c>
      <c r="B188" s="62" t="s">
        <v>1081</v>
      </c>
      <c r="C188" s="85">
        <v>1600</v>
      </c>
      <c r="D188" s="85">
        <v>850</v>
      </c>
      <c r="E188" s="85">
        <v>480</v>
      </c>
      <c r="F188" s="64" t="s">
        <v>224</v>
      </c>
      <c r="G188" s="62" t="s">
        <v>1081</v>
      </c>
      <c r="H188" s="85">
        <v>2470</v>
      </c>
      <c r="I188" s="85">
        <f>H188*53%</f>
        <v>1309.1000000000001</v>
      </c>
      <c r="J188" s="85">
        <f>H188*30%</f>
        <v>741</v>
      </c>
      <c r="K188" s="87">
        <f t="shared" si="12"/>
        <v>1729</v>
      </c>
      <c r="L188" s="87">
        <f t="shared" si="12"/>
        <v>916.37</v>
      </c>
      <c r="M188" s="87">
        <f t="shared" si="12"/>
        <v>518.69999999999993</v>
      </c>
    </row>
    <row r="189" spans="1:13" ht="57" customHeight="1" x14ac:dyDescent="0.25">
      <c r="A189" s="64" t="s">
        <v>225</v>
      </c>
      <c r="B189" s="66" t="s">
        <v>226</v>
      </c>
      <c r="C189" s="85">
        <v>800</v>
      </c>
      <c r="D189" s="85">
        <v>550</v>
      </c>
      <c r="E189" s="85">
        <v>320</v>
      </c>
      <c r="F189" s="64" t="s">
        <v>225</v>
      </c>
      <c r="G189" s="66" t="s">
        <v>226</v>
      </c>
      <c r="H189" s="85">
        <v>1520</v>
      </c>
      <c r="I189" s="85">
        <f>H189*69%</f>
        <v>1048.8</v>
      </c>
      <c r="J189" s="85">
        <f>H189*40%</f>
        <v>608</v>
      </c>
      <c r="K189" s="87">
        <f t="shared" si="12"/>
        <v>1064</v>
      </c>
      <c r="L189" s="87">
        <f t="shared" si="12"/>
        <v>734.16</v>
      </c>
      <c r="M189" s="87">
        <f t="shared" si="12"/>
        <v>425.59999999999997</v>
      </c>
    </row>
    <row r="190" spans="1:13" ht="39" customHeight="1" x14ac:dyDescent="0.25">
      <c r="A190" s="228" t="s">
        <v>227</v>
      </c>
      <c r="B190" s="66" t="s">
        <v>74</v>
      </c>
      <c r="C190" s="85">
        <v>300</v>
      </c>
      <c r="D190" s="85">
        <v>200</v>
      </c>
      <c r="E190" s="85">
        <v>150</v>
      </c>
      <c r="F190" s="228" t="s">
        <v>227</v>
      </c>
      <c r="G190" s="66" t="s">
        <v>74</v>
      </c>
      <c r="H190" s="85">
        <v>395</v>
      </c>
      <c r="I190" s="85">
        <f>H190*67%</f>
        <v>264.65000000000003</v>
      </c>
      <c r="J190" s="85">
        <f>H190*50%</f>
        <v>197.5</v>
      </c>
      <c r="K190" s="87">
        <f t="shared" si="12"/>
        <v>276.5</v>
      </c>
      <c r="L190" s="87">
        <f t="shared" si="12"/>
        <v>185.25500000000002</v>
      </c>
      <c r="M190" s="87">
        <f t="shared" si="12"/>
        <v>138.25</v>
      </c>
    </row>
    <row r="191" spans="1:13" ht="39" customHeight="1" x14ac:dyDescent="0.25">
      <c r="A191" s="228"/>
      <c r="B191" s="66" t="s">
        <v>75</v>
      </c>
      <c r="C191" s="85">
        <v>220</v>
      </c>
      <c r="D191" s="85">
        <v>150</v>
      </c>
      <c r="E191" s="85">
        <v>120</v>
      </c>
      <c r="F191" s="228"/>
      <c r="G191" s="66" t="s">
        <v>75</v>
      </c>
      <c r="H191" s="85">
        <v>343</v>
      </c>
      <c r="I191" s="85">
        <f>H191*68%</f>
        <v>233.24</v>
      </c>
      <c r="J191" s="85">
        <f>H191*55%</f>
        <v>188.65</v>
      </c>
      <c r="K191" s="87">
        <f t="shared" si="12"/>
        <v>240.1</v>
      </c>
      <c r="L191" s="87">
        <f t="shared" si="12"/>
        <v>163.268</v>
      </c>
      <c r="M191" s="87">
        <f t="shared" si="12"/>
        <v>132.05500000000001</v>
      </c>
    </row>
    <row r="192" spans="1:13" ht="39" customHeight="1" x14ac:dyDescent="0.25">
      <c r="A192" s="228"/>
      <c r="B192" s="66" t="s">
        <v>76</v>
      </c>
      <c r="C192" s="85">
        <v>200</v>
      </c>
      <c r="D192" s="85">
        <v>130</v>
      </c>
      <c r="E192" s="85">
        <v>100</v>
      </c>
      <c r="F192" s="228"/>
      <c r="G192" s="66" t="s">
        <v>76</v>
      </c>
      <c r="H192" s="85">
        <v>310</v>
      </c>
      <c r="I192" s="85">
        <f>H192*65%</f>
        <v>201.5</v>
      </c>
      <c r="J192" s="85">
        <f>H192*50%</f>
        <v>155</v>
      </c>
      <c r="K192" s="87">
        <f t="shared" si="12"/>
        <v>217</v>
      </c>
      <c r="L192" s="87">
        <f t="shared" si="12"/>
        <v>141.04999999999998</v>
      </c>
      <c r="M192" s="87">
        <f t="shared" si="12"/>
        <v>108.5</v>
      </c>
    </row>
    <row r="193" spans="1:13" ht="33" x14ac:dyDescent="0.25">
      <c r="A193" s="64" t="s">
        <v>228</v>
      </c>
      <c r="B193" s="66" t="s">
        <v>27</v>
      </c>
      <c r="C193" s="85">
        <v>120</v>
      </c>
      <c r="D193" s="85">
        <v>100</v>
      </c>
      <c r="E193" s="85">
        <v>90</v>
      </c>
      <c r="F193" s="64" t="s">
        <v>228</v>
      </c>
      <c r="G193" s="66" t="s">
        <v>27</v>
      </c>
      <c r="H193" s="85">
        <f>C193*1.1</f>
        <v>132</v>
      </c>
      <c r="I193" s="85">
        <f>D193*1.1</f>
        <v>110.00000000000001</v>
      </c>
      <c r="J193" s="85">
        <f>E193*1.1</f>
        <v>99.000000000000014</v>
      </c>
      <c r="K193" s="87">
        <f t="shared" si="12"/>
        <v>92.399999999999991</v>
      </c>
      <c r="L193" s="87">
        <f t="shared" si="12"/>
        <v>77</v>
      </c>
      <c r="M193" s="87">
        <f t="shared" si="12"/>
        <v>69.300000000000011</v>
      </c>
    </row>
    <row r="194" spans="1:13" s="23" customFormat="1" ht="24" customHeight="1" x14ac:dyDescent="0.25">
      <c r="A194" s="60" t="s">
        <v>28</v>
      </c>
      <c r="B194" s="62" t="s">
        <v>229</v>
      </c>
      <c r="C194" s="102"/>
      <c r="D194" s="102"/>
      <c r="E194" s="102"/>
      <c r="F194" s="60" t="s">
        <v>28</v>
      </c>
      <c r="G194" s="62" t="s">
        <v>229</v>
      </c>
      <c r="H194" s="102"/>
      <c r="I194" s="102"/>
      <c r="J194" s="102"/>
      <c r="K194" s="87"/>
      <c r="L194" s="87"/>
      <c r="M194" s="87"/>
    </row>
    <row r="195" spans="1:13" ht="24" customHeight="1" x14ac:dyDescent="0.25">
      <c r="A195" s="60">
        <v>1</v>
      </c>
      <c r="B195" s="62" t="s">
        <v>230</v>
      </c>
      <c r="C195" s="85"/>
      <c r="D195" s="85"/>
      <c r="E195" s="85"/>
      <c r="F195" s="60">
        <v>1</v>
      </c>
      <c r="G195" s="62" t="s">
        <v>230</v>
      </c>
      <c r="H195" s="85"/>
      <c r="I195" s="85"/>
      <c r="J195" s="85"/>
      <c r="K195" s="87"/>
      <c r="L195" s="87"/>
      <c r="M195" s="87"/>
    </row>
    <row r="196" spans="1:13" s="24" customFormat="1" ht="48" customHeight="1" x14ac:dyDescent="0.25">
      <c r="A196" s="64" t="s">
        <v>8</v>
      </c>
      <c r="B196" s="66" t="s">
        <v>1082</v>
      </c>
      <c r="C196" s="85">
        <v>180</v>
      </c>
      <c r="D196" s="85">
        <v>120</v>
      </c>
      <c r="E196" s="85">
        <v>90</v>
      </c>
      <c r="F196" s="64" t="s">
        <v>8</v>
      </c>
      <c r="G196" s="66" t="s">
        <v>1082</v>
      </c>
      <c r="H196" s="85">
        <v>420</v>
      </c>
      <c r="I196" s="85">
        <f>D196*2.3</f>
        <v>276</v>
      </c>
      <c r="J196" s="85">
        <f>E196*2.3</f>
        <v>206.99999999999997</v>
      </c>
      <c r="K196" s="87">
        <f t="shared" si="12"/>
        <v>294</v>
      </c>
      <c r="L196" s="87">
        <f t="shared" si="12"/>
        <v>193.2</v>
      </c>
      <c r="M196" s="87">
        <f t="shared" si="12"/>
        <v>144.89999999999998</v>
      </c>
    </row>
    <row r="197" spans="1:13" s="24" customFormat="1" ht="42.75" customHeight="1" x14ac:dyDescent="0.25">
      <c r="A197" s="64" t="s">
        <v>9</v>
      </c>
      <c r="B197" s="66" t="s">
        <v>1083</v>
      </c>
      <c r="C197" s="85">
        <v>550</v>
      </c>
      <c r="D197" s="85">
        <v>280</v>
      </c>
      <c r="E197" s="85">
        <v>220</v>
      </c>
      <c r="F197" s="64" t="s">
        <v>9</v>
      </c>
      <c r="G197" s="66" t="s">
        <v>1084</v>
      </c>
      <c r="H197" s="85">
        <v>1100</v>
      </c>
      <c r="I197" s="85">
        <f>D197*2</f>
        <v>560</v>
      </c>
      <c r="J197" s="85">
        <f>E197*2</f>
        <v>440</v>
      </c>
      <c r="K197" s="87">
        <f t="shared" si="12"/>
        <v>770</v>
      </c>
      <c r="L197" s="87">
        <f t="shared" si="12"/>
        <v>392</v>
      </c>
      <c r="M197" s="87">
        <f t="shared" si="12"/>
        <v>308</v>
      </c>
    </row>
    <row r="198" spans="1:13" s="24" customFormat="1" ht="47.25" customHeight="1" x14ac:dyDescent="0.25">
      <c r="A198" s="64" t="s">
        <v>61</v>
      </c>
      <c r="B198" s="66" t="s">
        <v>1085</v>
      </c>
      <c r="C198" s="85">
        <v>200</v>
      </c>
      <c r="D198" s="85">
        <v>140</v>
      </c>
      <c r="E198" s="85">
        <v>90</v>
      </c>
      <c r="F198" s="64" t="s">
        <v>61</v>
      </c>
      <c r="G198" s="66" t="s">
        <v>1085</v>
      </c>
      <c r="H198" s="85">
        <v>630</v>
      </c>
      <c r="I198" s="85">
        <f>D198*3.15</f>
        <v>441</v>
      </c>
      <c r="J198" s="85">
        <f>E198*3.15</f>
        <v>283.5</v>
      </c>
      <c r="K198" s="87">
        <f t="shared" si="12"/>
        <v>441</v>
      </c>
      <c r="L198" s="87">
        <f t="shared" si="12"/>
        <v>308.7</v>
      </c>
      <c r="M198" s="87">
        <f t="shared" si="12"/>
        <v>198.45</v>
      </c>
    </row>
    <row r="199" spans="1:13" s="24" customFormat="1" ht="50.25" customHeight="1" x14ac:dyDescent="0.25">
      <c r="A199" s="64" t="s">
        <v>62</v>
      </c>
      <c r="B199" s="66" t="s">
        <v>1086</v>
      </c>
      <c r="C199" s="85">
        <v>150</v>
      </c>
      <c r="D199" s="85">
        <v>120</v>
      </c>
      <c r="E199" s="85">
        <v>90</v>
      </c>
      <c r="F199" s="64" t="s">
        <v>62</v>
      </c>
      <c r="G199" s="66" t="s">
        <v>1086</v>
      </c>
      <c r="H199" s="85">
        <v>330</v>
      </c>
      <c r="I199" s="85">
        <f>D199*2.2</f>
        <v>264</v>
      </c>
      <c r="J199" s="85">
        <f>E199*2.2</f>
        <v>198.00000000000003</v>
      </c>
      <c r="K199" s="87">
        <f t="shared" si="12"/>
        <v>230.99999999999997</v>
      </c>
      <c r="L199" s="87">
        <f t="shared" si="12"/>
        <v>184.79999999999998</v>
      </c>
      <c r="M199" s="87">
        <f t="shared" si="12"/>
        <v>138.60000000000002</v>
      </c>
    </row>
    <row r="200" spans="1:13" s="24" customFormat="1" ht="45.75" customHeight="1" x14ac:dyDescent="0.25">
      <c r="A200" s="64" t="s">
        <v>63</v>
      </c>
      <c r="B200" s="62" t="s">
        <v>1087</v>
      </c>
      <c r="C200" s="85">
        <v>240</v>
      </c>
      <c r="D200" s="85">
        <v>160</v>
      </c>
      <c r="E200" s="85">
        <v>120</v>
      </c>
      <c r="F200" s="64" t="s">
        <v>63</v>
      </c>
      <c r="G200" s="62" t="s">
        <v>1087</v>
      </c>
      <c r="H200" s="85">
        <f t="shared" ref="H200:J203" si="16">C200*1.1</f>
        <v>264</v>
      </c>
      <c r="I200" s="85">
        <f t="shared" si="16"/>
        <v>176</v>
      </c>
      <c r="J200" s="85">
        <f t="shared" si="16"/>
        <v>132</v>
      </c>
      <c r="K200" s="87">
        <f t="shared" si="12"/>
        <v>184.79999999999998</v>
      </c>
      <c r="L200" s="87">
        <f t="shared" si="12"/>
        <v>123.19999999999999</v>
      </c>
      <c r="M200" s="87">
        <f t="shared" si="12"/>
        <v>92.399999999999991</v>
      </c>
    </row>
    <row r="201" spans="1:13" s="24" customFormat="1" ht="48" customHeight="1" x14ac:dyDescent="0.25">
      <c r="A201" s="64" t="s">
        <v>64</v>
      </c>
      <c r="B201" s="62" t="s">
        <v>1088</v>
      </c>
      <c r="C201" s="85">
        <v>150</v>
      </c>
      <c r="D201" s="85">
        <v>110</v>
      </c>
      <c r="E201" s="85">
        <v>90</v>
      </c>
      <c r="F201" s="64" t="s">
        <v>64</v>
      </c>
      <c r="G201" s="62" t="s">
        <v>1088</v>
      </c>
      <c r="H201" s="85">
        <v>166</v>
      </c>
      <c r="I201" s="85">
        <f>D201*1.11</f>
        <v>122.10000000000001</v>
      </c>
      <c r="J201" s="85">
        <f>E201*1.11</f>
        <v>99.9</v>
      </c>
      <c r="K201" s="87">
        <f t="shared" si="12"/>
        <v>116.19999999999999</v>
      </c>
      <c r="L201" s="87">
        <f t="shared" si="12"/>
        <v>85.47</v>
      </c>
      <c r="M201" s="87">
        <f t="shared" si="12"/>
        <v>69.929999999999993</v>
      </c>
    </row>
    <row r="202" spans="1:13" s="24" customFormat="1" ht="37.5" customHeight="1" x14ac:dyDescent="0.25">
      <c r="A202" s="64" t="s">
        <v>65</v>
      </c>
      <c r="B202" s="66" t="s">
        <v>25</v>
      </c>
      <c r="C202" s="86">
        <v>120</v>
      </c>
      <c r="D202" s="85">
        <v>100</v>
      </c>
      <c r="E202" s="85">
        <v>90</v>
      </c>
      <c r="F202" s="64" t="s">
        <v>65</v>
      </c>
      <c r="G202" s="66" t="s">
        <v>25</v>
      </c>
      <c r="H202" s="85">
        <v>133</v>
      </c>
      <c r="I202" s="85">
        <f>D202*1.11</f>
        <v>111.00000000000001</v>
      </c>
      <c r="J202" s="85">
        <f>E202*1.11</f>
        <v>99.9</v>
      </c>
      <c r="K202" s="87">
        <f t="shared" ref="K202:M261" si="17">H202*$L$3</f>
        <v>93.1</v>
      </c>
      <c r="L202" s="87">
        <f t="shared" si="17"/>
        <v>77.7</v>
      </c>
      <c r="M202" s="87">
        <f t="shared" si="17"/>
        <v>69.929999999999993</v>
      </c>
    </row>
    <row r="203" spans="1:13" s="24" customFormat="1" ht="35.25" customHeight="1" x14ac:dyDescent="0.25">
      <c r="A203" s="64" t="s">
        <v>67</v>
      </c>
      <c r="B203" s="66" t="s">
        <v>27</v>
      </c>
      <c r="C203" s="85">
        <v>90</v>
      </c>
      <c r="D203" s="85">
        <v>85</v>
      </c>
      <c r="E203" s="85">
        <v>80</v>
      </c>
      <c r="F203" s="64" t="s">
        <v>67</v>
      </c>
      <c r="G203" s="66" t="s">
        <v>27</v>
      </c>
      <c r="H203" s="85">
        <f t="shared" si="16"/>
        <v>99.000000000000014</v>
      </c>
      <c r="I203" s="85">
        <f t="shared" si="16"/>
        <v>93.500000000000014</v>
      </c>
      <c r="J203" s="85">
        <f t="shared" si="16"/>
        <v>88</v>
      </c>
      <c r="K203" s="87">
        <f t="shared" si="17"/>
        <v>69.300000000000011</v>
      </c>
      <c r="L203" s="87">
        <f t="shared" si="17"/>
        <v>65.45</v>
      </c>
      <c r="M203" s="87">
        <f t="shared" si="17"/>
        <v>61.599999999999994</v>
      </c>
    </row>
    <row r="204" spans="1:13" ht="30.75" customHeight="1" x14ac:dyDescent="0.25">
      <c r="A204" s="60">
        <v>2</v>
      </c>
      <c r="B204" s="62" t="s">
        <v>231</v>
      </c>
      <c r="C204" s="85"/>
      <c r="D204" s="85"/>
      <c r="E204" s="85"/>
      <c r="F204" s="60">
        <v>2</v>
      </c>
      <c r="G204" s="62" t="s">
        <v>231</v>
      </c>
      <c r="H204" s="85"/>
      <c r="I204" s="85"/>
      <c r="J204" s="85"/>
      <c r="K204" s="87"/>
      <c r="L204" s="87"/>
      <c r="M204" s="87"/>
    </row>
    <row r="205" spans="1:13" s="24" customFormat="1" ht="45" customHeight="1" x14ac:dyDescent="0.25">
      <c r="A205" s="64" t="s">
        <v>92</v>
      </c>
      <c r="B205" s="62" t="s">
        <v>1089</v>
      </c>
      <c r="C205" s="85">
        <v>120</v>
      </c>
      <c r="D205" s="85">
        <v>100</v>
      </c>
      <c r="E205" s="85">
        <v>80</v>
      </c>
      <c r="F205" s="64" t="s">
        <v>92</v>
      </c>
      <c r="G205" s="62" t="s">
        <v>1089</v>
      </c>
      <c r="H205" s="85">
        <v>138</v>
      </c>
      <c r="I205" s="85">
        <f>D205*1.15</f>
        <v>114.99999999999999</v>
      </c>
      <c r="J205" s="85">
        <f>E205*1.15</f>
        <v>92</v>
      </c>
      <c r="K205" s="87">
        <f t="shared" si="17"/>
        <v>96.6</v>
      </c>
      <c r="L205" s="87">
        <f t="shared" si="17"/>
        <v>80.499999999999986</v>
      </c>
      <c r="M205" s="87">
        <f t="shared" si="17"/>
        <v>64.399999999999991</v>
      </c>
    </row>
    <row r="206" spans="1:13" s="24" customFormat="1" ht="42" customHeight="1" x14ac:dyDescent="0.25">
      <c r="A206" s="64" t="s">
        <v>14</v>
      </c>
      <c r="B206" s="62" t="s">
        <v>1090</v>
      </c>
      <c r="C206" s="85">
        <v>150</v>
      </c>
      <c r="D206" s="85">
        <v>120</v>
      </c>
      <c r="E206" s="85">
        <v>90</v>
      </c>
      <c r="F206" s="64" t="s">
        <v>14</v>
      </c>
      <c r="G206" s="62" t="s">
        <v>1090</v>
      </c>
      <c r="H206" s="85">
        <v>166</v>
      </c>
      <c r="I206" s="85">
        <f>D206*1.11</f>
        <v>133.20000000000002</v>
      </c>
      <c r="J206" s="85">
        <f>E206*1.11</f>
        <v>99.9</v>
      </c>
      <c r="K206" s="87">
        <f t="shared" si="17"/>
        <v>116.19999999999999</v>
      </c>
      <c r="L206" s="87">
        <f t="shared" si="17"/>
        <v>93.240000000000009</v>
      </c>
      <c r="M206" s="87">
        <f t="shared" si="17"/>
        <v>69.929999999999993</v>
      </c>
    </row>
    <row r="207" spans="1:13" s="24" customFormat="1" ht="51.75" customHeight="1" x14ac:dyDescent="0.25">
      <c r="A207" s="64" t="s">
        <v>94</v>
      </c>
      <c r="B207" s="62" t="s">
        <v>1091</v>
      </c>
      <c r="C207" s="85">
        <v>120</v>
      </c>
      <c r="D207" s="85">
        <v>100</v>
      </c>
      <c r="E207" s="85">
        <v>80</v>
      </c>
      <c r="F207" s="64" t="s">
        <v>94</v>
      </c>
      <c r="G207" s="62" t="s">
        <v>1091</v>
      </c>
      <c r="H207" s="85">
        <v>138</v>
      </c>
      <c r="I207" s="85">
        <f>D207*1.15</f>
        <v>114.99999999999999</v>
      </c>
      <c r="J207" s="85">
        <f>E207*1.15</f>
        <v>92</v>
      </c>
      <c r="K207" s="87">
        <f t="shared" si="17"/>
        <v>96.6</v>
      </c>
      <c r="L207" s="87">
        <f t="shared" si="17"/>
        <v>80.499999999999986</v>
      </c>
      <c r="M207" s="87">
        <f t="shared" si="17"/>
        <v>64.399999999999991</v>
      </c>
    </row>
    <row r="208" spans="1:13" s="24" customFormat="1" ht="42.75" customHeight="1" x14ac:dyDescent="0.25">
      <c r="A208" s="64" t="s">
        <v>95</v>
      </c>
      <c r="B208" s="66" t="s">
        <v>232</v>
      </c>
      <c r="C208" s="85">
        <v>100</v>
      </c>
      <c r="D208" s="85">
        <v>90</v>
      </c>
      <c r="E208" s="85">
        <v>80</v>
      </c>
      <c r="F208" s="64" t="s">
        <v>95</v>
      </c>
      <c r="G208" s="66" t="s">
        <v>232</v>
      </c>
      <c r="H208" s="85">
        <f t="shared" ref="H208:J208" si="18">C208*1.1</f>
        <v>110.00000000000001</v>
      </c>
      <c r="I208" s="85">
        <f t="shared" si="18"/>
        <v>99.000000000000014</v>
      </c>
      <c r="J208" s="85">
        <f t="shared" si="18"/>
        <v>88</v>
      </c>
      <c r="K208" s="87">
        <f t="shared" si="17"/>
        <v>77</v>
      </c>
      <c r="L208" s="87">
        <f t="shared" si="17"/>
        <v>69.300000000000011</v>
      </c>
      <c r="M208" s="87">
        <f t="shared" si="17"/>
        <v>61.599999999999994</v>
      </c>
    </row>
    <row r="209" spans="1:13" s="24" customFormat="1" ht="23.25" customHeight="1" x14ac:dyDescent="0.25">
      <c r="A209" s="64" t="s">
        <v>96</v>
      </c>
      <c r="B209" s="66" t="s">
        <v>27</v>
      </c>
      <c r="C209" s="220">
        <v>80</v>
      </c>
      <c r="D209" s="220"/>
      <c r="E209" s="220"/>
      <c r="F209" s="64" t="s">
        <v>96</v>
      </c>
      <c r="G209" s="66" t="s">
        <v>27</v>
      </c>
      <c r="H209" s="220">
        <f>C209*1.1</f>
        <v>88</v>
      </c>
      <c r="I209" s="220"/>
      <c r="J209" s="220"/>
      <c r="K209" s="236">
        <f t="shared" si="17"/>
        <v>61.599999999999994</v>
      </c>
      <c r="L209" s="237"/>
      <c r="M209" s="238"/>
    </row>
    <row r="210" spans="1:13" ht="24" customHeight="1" x14ac:dyDescent="0.25">
      <c r="A210" s="60">
        <v>3</v>
      </c>
      <c r="B210" s="62" t="s">
        <v>233</v>
      </c>
      <c r="C210" s="85"/>
      <c r="D210" s="85"/>
      <c r="E210" s="85"/>
      <c r="F210" s="60">
        <v>3</v>
      </c>
      <c r="G210" s="62" t="s">
        <v>233</v>
      </c>
      <c r="H210" s="85"/>
      <c r="I210" s="85"/>
      <c r="J210" s="85"/>
      <c r="K210" s="87"/>
      <c r="L210" s="87"/>
      <c r="M210" s="87"/>
    </row>
    <row r="211" spans="1:13" s="24" customFormat="1" ht="63.75" customHeight="1" x14ac:dyDescent="0.25">
      <c r="A211" s="64" t="s">
        <v>18</v>
      </c>
      <c r="B211" s="62" t="s">
        <v>1092</v>
      </c>
      <c r="C211" s="85">
        <v>150</v>
      </c>
      <c r="D211" s="85">
        <v>120</v>
      </c>
      <c r="E211" s="85">
        <v>90</v>
      </c>
      <c r="F211" s="64" t="s">
        <v>18</v>
      </c>
      <c r="G211" s="62" t="s">
        <v>1092</v>
      </c>
      <c r="H211" s="85">
        <v>166</v>
      </c>
      <c r="I211" s="85">
        <f>D211*1.11</f>
        <v>133.20000000000002</v>
      </c>
      <c r="J211" s="85">
        <f>E211*1.11</f>
        <v>99.9</v>
      </c>
      <c r="K211" s="87">
        <f t="shared" si="17"/>
        <v>116.19999999999999</v>
      </c>
      <c r="L211" s="87">
        <f t="shared" si="17"/>
        <v>93.240000000000009</v>
      </c>
      <c r="M211" s="87">
        <f t="shared" si="17"/>
        <v>69.929999999999993</v>
      </c>
    </row>
    <row r="212" spans="1:13" s="24" customFormat="1" ht="63.75" customHeight="1" x14ac:dyDescent="0.25">
      <c r="A212" s="64" t="s">
        <v>19</v>
      </c>
      <c r="B212" s="62" t="s">
        <v>1093</v>
      </c>
      <c r="C212" s="85">
        <v>300</v>
      </c>
      <c r="D212" s="85">
        <v>180</v>
      </c>
      <c r="E212" s="85">
        <v>140</v>
      </c>
      <c r="F212" s="64" t="s">
        <v>19</v>
      </c>
      <c r="G212" s="62" t="s">
        <v>1093</v>
      </c>
      <c r="H212" s="85">
        <v>330</v>
      </c>
      <c r="I212" s="85">
        <f t="shared" ref="I212:J212" si="19">D212*1.1</f>
        <v>198.00000000000003</v>
      </c>
      <c r="J212" s="85">
        <f t="shared" si="19"/>
        <v>154</v>
      </c>
      <c r="K212" s="87">
        <f t="shared" si="17"/>
        <v>230.99999999999997</v>
      </c>
      <c r="L212" s="87">
        <f t="shared" si="17"/>
        <v>138.60000000000002</v>
      </c>
      <c r="M212" s="87">
        <f t="shared" si="17"/>
        <v>107.8</v>
      </c>
    </row>
    <row r="213" spans="1:13" s="24" customFormat="1" ht="48" customHeight="1" x14ac:dyDescent="0.25">
      <c r="A213" s="64" t="s">
        <v>20</v>
      </c>
      <c r="B213" s="62" t="s">
        <v>1094</v>
      </c>
      <c r="C213" s="85">
        <v>150</v>
      </c>
      <c r="D213" s="85">
        <v>120</v>
      </c>
      <c r="E213" s="85">
        <v>90</v>
      </c>
      <c r="F213" s="64" t="s">
        <v>20</v>
      </c>
      <c r="G213" s="62" t="s">
        <v>1094</v>
      </c>
      <c r="H213" s="85">
        <v>166</v>
      </c>
      <c r="I213" s="85">
        <f t="shared" ref="I213:J215" si="20">D213*1.11</f>
        <v>133.20000000000002</v>
      </c>
      <c r="J213" s="85">
        <f t="shared" si="20"/>
        <v>99.9</v>
      </c>
      <c r="K213" s="87">
        <f t="shared" si="17"/>
        <v>116.19999999999999</v>
      </c>
      <c r="L213" s="87">
        <f t="shared" si="17"/>
        <v>93.240000000000009</v>
      </c>
      <c r="M213" s="87">
        <f t="shared" si="17"/>
        <v>69.929999999999993</v>
      </c>
    </row>
    <row r="214" spans="1:13" s="24" customFormat="1" ht="43.5" customHeight="1" x14ac:dyDescent="0.25">
      <c r="A214" s="64" t="s">
        <v>21</v>
      </c>
      <c r="B214" s="62" t="s">
        <v>1095</v>
      </c>
      <c r="C214" s="85">
        <v>250</v>
      </c>
      <c r="D214" s="85">
        <v>160</v>
      </c>
      <c r="E214" s="85">
        <v>120</v>
      </c>
      <c r="F214" s="64" t="s">
        <v>21</v>
      </c>
      <c r="G214" s="62" t="s">
        <v>1095</v>
      </c>
      <c r="H214" s="85">
        <v>277</v>
      </c>
      <c r="I214" s="85">
        <f t="shared" si="20"/>
        <v>177.60000000000002</v>
      </c>
      <c r="J214" s="85">
        <f t="shared" si="20"/>
        <v>133.20000000000002</v>
      </c>
      <c r="K214" s="87">
        <f t="shared" si="17"/>
        <v>193.89999999999998</v>
      </c>
      <c r="L214" s="87">
        <f t="shared" si="17"/>
        <v>124.32000000000001</v>
      </c>
      <c r="M214" s="87">
        <f t="shared" si="17"/>
        <v>93.240000000000009</v>
      </c>
    </row>
    <row r="215" spans="1:13" s="24" customFormat="1" ht="28.5" customHeight="1" x14ac:dyDescent="0.25">
      <c r="A215" s="64" t="s">
        <v>22</v>
      </c>
      <c r="B215" s="66" t="s">
        <v>25</v>
      </c>
      <c r="C215" s="85">
        <v>120</v>
      </c>
      <c r="D215" s="85">
        <v>100</v>
      </c>
      <c r="E215" s="85">
        <v>90</v>
      </c>
      <c r="F215" s="64" t="s">
        <v>22</v>
      </c>
      <c r="G215" s="66" t="s">
        <v>25</v>
      </c>
      <c r="H215" s="85">
        <v>133</v>
      </c>
      <c r="I215" s="85">
        <f t="shared" si="20"/>
        <v>111.00000000000001</v>
      </c>
      <c r="J215" s="85">
        <f t="shared" si="20"/>
        <v>99.9</v>
      </c>
      <c r="K215" s="87">
        <f t="shared" si="17"/>
        <v>93.1</v>
      </c>
      <c r="L215" s="87">
        <f t="shared" si="17"/>
        <v>77.7</v>
      </c>
      <c r="M215" s="87">
        <f t="shared" si="17"/>
        <v>69.929999999999993</v>
      </c>
    </row>
    <row r="216" spans="1:13" s="24" customFormat="1" ht="33" x14ac:dyDescent="0.25">
      <c r="A216" s="64" t="s">
        <v>23</v>
      </c>
      <c r="B216" s="66" t="s">
        <v>27</v>
      </c>
      <c r="C216" s="220">
        <v>80</v>
      </c>
      <c r="D216" s="220"/>
      <c r="E216" s="220"/>
      <c r="F216" s="64" t="s">
        <v>23</v>
      </c>
      <c r="G216" s="66" t="s">
        <v>27</v>
      </c>
      <c r="H216" s="220">
        <f>C216*1.1</f>
        <v>88</v>
      </c>
      <c r="I216" s="220"/>
      <c r="J216" s="220"/>
      <c r="K216" s="217">
        <f t="shared" si="17"/>
        <v>61.599999999999994</v>
      </c>
      <c r="L216" s="218"/>
      <c r="M216" s="219"/>
    </row>
    <row r="217" spans="1:13" ht="16.5" x14ac:dyDescent="0.25">
      <c r="A217" s="60">
        <v>4</v>
      </c>
      <c r="B217" s="62" t="s">
        <v>234</v>
      </c>
      <c r="C217" s="85"/>
      <c r="D217" s="85"/>
      <c r="E217" s="85"/>
      <c r="F217" s="60">
        <v>4</v>
      </c>
      <c r="G217" s="62" t="s">
        <v>234</v>
      </c>
      <c r="H217" s="85"/>
      <c r="I217" s="85"/>
      <c r="J217" s="85"/>
      <c r="K217" s="87"/>
      <c r="L217" s="87"/>
      <c r="M217" s="87"/>
    </row>
    <row r="218" spans="1:13" s="24" customFormat="1" ht="41.25" customHeight="1" x14ac:dyDescent="0.25">
      <c r="A218" s="64" t="s">
        <v>10</v>
      </c>
      <c r="B218" s="62" t="s">
        <v>1096</v>
      </c>
      <c r="C218" s="85">
        <v>400</v>
      </c>
      <c r="D218" s="85">
        <v>250</v>
      </c>
      <c r="E218" s="85">
        <v>180</v>
      </c>
      <c r="F218" s="64" t="s">
        <v>10</v>
      </c>
      <c r="G218" s="62" t="s">
        <v>1096</v>
      </c>
      <c r="H218" s="85">
        <v>440</v>
      </c>
      <c r="I218" s="85">
        <f>D218*1.1</f>
        <v>275</v>
      </c>
      <c r="J218" s="85">
        <f>E218*1.1</f>
        <v>198.00000000000003</v>
      </c>
      <c r="K218" s="87">
        <f t="shared" si="17"/>
        <v>308</v>
      </c>
      <c r="L218" s="87">
        <f t="shared" si="17"/>
        <v>192.5</v>
      </c>
      <c r="M218" s="87">
        <f t="shared" si="17"/>
        <v>138.60000000000002</v>
      </c>
    </row>
    <row r="219" spans="1:13" s="24" customFormat="1" ht="51" customHeight="1" x14ac:dyDescent="0.25">
      <c r="A219" s="64" t="s">
        <v>11</v>
      </c>
      <c r="B219" s="62" t="s">
        <v>1097</v>
      </c>
      <c r="C219" s="85">
        <v>600</v>
      </c>
      <c r="D219" s="85">
        <v>350</v>
      </c>
      <c r="E219" s="85">
        <v>230</v>
      </c>
      <c r="F219" s="64" t="s">
        <v>11</v>
      </c>
      <c r="G219" s="66" t="s">
        <v>235</v>
      </c>
      <c r="H219" s="85">
        <v>660</v>
      </c>
      <c r="I219" s="85">
        <f>D219*1.1</f>
        <v>385.00000000000006</v>
      </c>
      <c r="J219" s="85">
        <f>E219*1.1</f>
        <v>253.00000000000003</v>
      </c>
      <c r="K219" s="87">
        <f t="shared" si="17"/>
        <v>461.99999999999994</v>
      </c>
      <c r="L219" s="87">
        <f t="shared" si="17"/>
        <v>269.5</v>
      </c>
      <c r="M219" s="87">
        <f t="shared" si="17"/>
        <v>177.10000000000002</v>
      </c>
    </row>
    <row r="220" spans="1:13" s="24" customFormat="1" ht="50.25" customHeight="1" x14ac:dyDescent="0.25">
      <c r="A220" s="64"/>
      <c r="B220" s="62"/>
      <c r="C220" s="85"/>
      <c r="D220" s="85"/>
      <c r="E220" s="85"/>
      <c r="F220" s="64" t="s">
        <v>236</v>
      </c>
      <c r="G220" s="93" t="s">
        <v>237</v>
      </c>
      <c r="H220" s="85">
        <v>370</v>
      </c>
      <c r="I220" s="85">
        <f>H220*58%</f>
        <v>214.6</v>
      </c>
      <c r="J220" s="85">
        <f>H220*38%</f>
        <v>140.6</v>
      </c>
      <c r="K220" s="87">
        <f t="shared" si="17"/>
        <v>259</v>
      </c>
      <c r="L220" s="87">
        <f t="shared" si="17"/>
        <v>150.22</v>
      </c>
      <c r="M220" s="87">
        <f t="shared" si="17"/>
        <v>98.419999999999987</v>
      </c>
    </row>
    <row r="221" spans="1:13" s="24" customFormat="1" ht="47.25" customHeight="1" x14ac:dyDescent="0.25">
      <c r="A221" s="64" t="s">
        <v>29</v>
      </c>
      <c r="B221" s="62" t="s">
        <v>1098</v>
      </c>
      <c r="C221" s="85">
        <v>1000</v>
      </c>
      <c r="D221" s="85">
        <v>550</v>
      </c>
      <c r="E221" s="85">
        <v>350</v>
      </c>
      <c r="F221" s="64" t="s">
        <v>29</v>
      </c>
      <c r="G221" s="62" t="s">
        <v>1098</v>
      </c>
      <c r="H221" s="85">
        <v>1274</v>
      </c>
      <c r="I221" s="85">
        <f>D221*1.27</f>
        <v>698.5</v>
      </c>
      <c r="J221" s="85">
        <f>E221*1.27</f>
        <v>444.5</v>
      </c>
      <c r="K221" s="87">
        <f t="shared" si="17"/>
        <v>891.8</v>
      </c>
      <c r="L221" s="87">
        <f t="shared" si="17"/>
        <v>488.95</v>
      </c>
      <c r="M221" s="87">
        <f t="shared" si="17"/>
        <v>311.14999999999998</v>
      </c>
    </row>
    <row r="222" spans="1:13" s="24" customFormat="1" ht="47.25" customHeight="1" x14ac:dyDescent="0.25">
      <c r="A222" s="64" t="s">
        <v>30</v>
      </c>
      <c r="B222" s="62" t="s">
        <v>1099</v>
      </c>
      <c r="C222" s="85">
        <v>350</v>
      </c>
      <c r="D222" s="85">
        <v>230</v>
      </c>
      <c r="E222" s="85">
        <v>160</v>
      </c>
      <c r="F222" s="64" t="s">
        <v>30</v>
      </c>
      <c r="G222" s="62" t="s">
        <v>1099</v>
      </c>
      <c r="H222" s="85">
        <v>385</v>
      </c>
      <c r="I222" s="85">
        <f t="shared" ref="H222:J224" si="21">D222*1.1</f>
        <v>253.00000000000003</v>
      </c>
      <c r="J222" s="85">
        <f t="shared" si="21"/>
        <v>176</v>
      </c>
      <c r="K222" s="87">
        <f t="shared" si="17"/>
        <v>269.5</v>
      </c>
      <c r="L222" s="87">
        <f t="shared" si="17"/>
        <v>177.10000000000002</v>
      </c>
      <c r="M222" s="87">
        <f t="shared" si="17"/>
        <v>123.19999999999999</v>
      </c>
    </row>
    <row r="223" spans="1:13" s="24" customFormat="1" ht="47.25" customHeight="1" x14ac:dyDescent="0.25">
      <c r="A223" s="64" t="s">
        <v>31</v>
      </c>
      <c r="B223" s="103" t="s">
        <v>1100</v>
      </c>
      <c r="C223" s="85">
        <v>220</v>
      </c>
      <c r="D223" s="85">
        <v>130</v>
      </c>
      <c r="E223" s="85">
        <v>90</v>
      </c>
      <c r="F223" s="64" t="s">
        <v>31</v>
      </c>
      <c r="G223" s="103" t="s">
        <v>1100</v>
      </c>
      <c r="H223" s="85">
        <v>244</v>
      </c>
      <c r="I223" s="85">
        <f>D223*1.11</f>
        <v>144.30000000000001</v>
      </c>
      <c r="J223" s="85">
        <f>E223*1.11</f>
        <v>99.9</v>
      </c>
      <c r="K223" s="87">
        <f t="shared" si="17"/>
        <v>170.79999999999998</v>
      </c>
      <c r="L223" s="87">
        <f t="shared" si="17"/>
        <v>101.01</v>
      </c>
      <c r="M223" s="87">
        <f t="shared" si="17"/>
        <v>69.929999999999993</v>
      </c>
    </row>
    <row r="224" spans="1:13" s="24" customFormat="1" ht="44.25" customHeight="1" x14ac:dyDescent="0.25">
      <c r="A224" s="64" t="s">
        <v>32</v>
      </c>
      <c r="B224" s="66" t="s">
        <v>238</v>
      </c>
      <c r="C224" s="85">
        <v>90</v>
      </c>
      <c r="D224" s="85">
        <v>85</v>
      </c>
      <c r="E224" s="85">
        <v>80</v>
      </c>
      <c r="F224" s="64" t="s">
        <v>32</v>
      </c>
      <c r="G224" s="66" t="s">
        <v>238</v>
      </c>
      <c r="H224" s="85">
        <f t="shared" si="21"/>
        <v>99.000000000000014</v>
      </c>
      <c r="I224" s="85">
        <f t="shared" si="21"/>
        <v>93.500000000000014</v>
      </c>
      <c r="J224" s="85">
        <f t="shared" si="21"/>
        <v>88</v>
      </c>
      <c r="K224" s="87">
        <f t="shared" si="17"/>
        <v>69.300000000000011</v>
      </c>
      <c r="L224" s="87">
        <f t="shared" si="17"/>
        <v>65.45</v>
      </c>
      <c r="M224" s="87">
        <f t="shared" si="17"/>
        <v>61.599999999999994</v>
      </c>
    </row>
    <row r="225" spans="1:13" s="24" customFormat="1" ht="33" x14ac:dyDescent="0.25">
      <c r="A225" s="64" t="s">
        <v>33</v>
      </c>
      <c r="B225" s="66" t="s">
        <v>27</v>
      </c>
      <c r="C225" s="220">
        <v>80</v>
      </c>
      <c r="D225" s="220"/>
      <c r="E225" s="220"/>
      <c r="F225" s="64" t="s">
        <v>33</v>
      </c>
      <c r="G225" s="66" t="s">
        <v>27</v>
      </c>
      <c r="H225" s="220">
        <f>C225*1.1</f>
        <v>88</v>
      </c>
      <c r="I225" s="220"/>
      <c r="J225" s="220"/>
      <c r="K225" s="217">
        <f t="shared" si="17"/>
        <v>61.599999999999994</v>
      </c>
      <c r="L225" s="218"/>
      <c r="M225" s="219"/>
    </row>
    <row r="226" spans="1:13" ht="16.5" x14ac:dyDescent="0.25">
      <c r="A226" s="60">
        <v>5</v>
      </c>
      <c r="B226" s="62" t="s">
        <v>239</v>
      </c>
      <c r="C226" s="85"/>
      <c r="D226" s="85"/>
      <c r="E226" s="85"/>
      <c r="F226" s="60">
        <v>5</v>
      </c>
      <c r="G226" s="62" t="s">
        <v>239</v>
      </c>
      <c r="H226" s="85"/>
      <c r="I226" s="85"/>
      <c r="J226" s="85"/>
      <c r="K226" s="87"/>
      <c r="L226" s="87"/>
      <c r="M226" s="87"/>
    </row>
    <row r="227" spans="1:13" s="24" customFormat="1" ht="45.75" customHeight="1" x14ac:dyDescent="0.25">
      <c r="A227" s="64" t="s">
        <v>35</v>
      </c>
      <c r="B227" s="62" t="s">
        <v>1101</v>
      </c>
      <c r="C227" s="85">
        <v>250</v>
      </c>
      <c r="D227" s="85">
        <v>160</v>
      </c>
      <c r="E227" s="85">
        <v>120</v>
      </c>
      <c r="F227" s="64" t="s">
        <v>35</v>
      </c>
      <c r="G227" s="66" t="s">
        <v>240</v>
      </c>
      <c r="H227" s="85">
        <v>279</v>
      </c>
      <c r="I227" s="85">
        <f>D227*1.12</f>
        <v>179.20000000000002</v>
      </c>
      <c r="J227" s="85">
        <f>E227*1.12</f>
        <v>134.4</v>
      </c>
      <c r="K227" s="87">
        <f t="shared" si="17"/>
        <v>195.29999999999998</v>
      </c>
      <c r="L227" s="87">
        <f t="shared" si="17"/>
        <v>125.44</v>
      </c>
      <c r="M227" s="87">
        <f t="shared" si="17"/>
        <v>94.08</v>
      </c>
    </row>
    <row r="228" spans="1:13" s="24" customFormat="1" ht="39.75" customHeight="1" x14ac:dyDescent="0.25">
      <c r="A228" s="64" t="s">
        <v>36</v>
      </c>
      <c r="B228" s="62" t="s">
        <v>1102</v>
      </c>
      <c r="C228" s="85">
        <v>400</v>
      </c>
      <c r="D228" s="85">
        <v>250</v>
      </c>
      <c r="E228" s="85">
        <v>180</v>
      </c>
      <c r="F228" s="64" t="s">
        <v>36</v>
      </c>
      <c r="G228" s="66" t="s">
        <v>241</v>
      </c>
      <c r="H228" s="85">
        <v>440</v>
      </c>
      <c r="I228" s="85">
        <f t="shared" ref="H228:J230" si="22">D228*1.1</f>
        <v>275</v>
      </c>
      <c r="J228" s="85">
        <f t="shared" si="22"/>
        <v>198.00000000000003</v>
      </c>
      <c r="K228" s="87">
        <f t="shared" si="17"/>
        <v>308</v>
      </c>
      <c r="L228" s="87">
        <f t="shared" si="17"/>
        <v>192.5</v>
      </c>
      <c r="M228" s="87">
        <f t="shared" si="17"/>
        <v>138.60000000000002</v>
      </c>
    </row>
    <row r="229" spans="1:13" s="24" customFormat="1" ht="44.25" customHeight="1" x14ac:dyDescent="0.25">
      <c r="A229" s="64" t="s">
        <v>37</v>
      </c>
      <c r="B229" s="62" t="s">
        <v>1103</v>
      </c>
      <c r="C229" s="85">
        <v>170</v>
      </c>
      <c r="D229" s="85">
        <v>130</v>
      </c>
      <c r="E229" s="85">
        <v>100</v>
      </c>
      <c r="F229" s="64" t="s">
        <v>37</v>
      </c>
      <c r="G229" s="62" t="s">
        <v>1103</v>
      </c>
      <c r="H229" s="85">
        <v>190</v>
      </c>
      <c r="I229" s="85">
        <f>D229*1.12</f>
        <v>145.60000000000002</v>
      </c>
      <c r="J229" s="85">
        <f>E229*1.12</f>
        <v>112.00000000000001</v>
      </c>
      <c r="K229" s="87">
        <f t="shared" si="17"/>
        <v>133</v>
      </c>
      <c r="L229" s="87">
        <f t="shared" si="17"/>
        <v>101.92000000000002</v>
      </c>
      <c r="M229" s="87">
        <f t="shared" si="17"/>
        <v>78.400000000000006</v>
      </c>
    </row>
    <row r="230" spans="1:13" s="24" customFormat="1" ht="39.75" customHeight="1" x14ac:dyDescent="0.25">
      <c r="A230" s="64" t="s">
        <v>38</v>
      </c>
      <c r="B230" s="66" t="s">
        <v>238</v>
      </c>
      <c r="C230" s="85">
        <v>100</v>
      </c>
      <c r="D230" s="85">
        <v>85</v>
      </c>
      <c r="E230" s="85">
        <v>80</v>
      </c>
      <c r="F230" s="64" t="s">
        <v>38</v>
      </c>
      <c r="G230" s="66" t="s">
        <v>238</v>
      </c>
      <c r="H230" s="85">
        <f t="shared" si="22"/>
        <v>110.00000000000001</v>
      </c>
      <c r="I230" s="85">
        <f t="shared" si="22"/>
        <v>93.500000000000014</v>
      </c>
      <c r="J230" s="85">
        <f t="shared" si="22"/>
        <v>88</v>
      </c>
      <c r="K230" s="87">
        <f t="shared" si="17"/>
        <v>77</v>
      </c>
      <c r="L230" s="87">
        <f t="shared" si="17"/>
        <v>65.45</v>
      </c>
      <c r="M230" s="87">
        <f t="shared" si="17"/>
        <v>61.599999999999994</v>
      </c>
    </row>
    <row r="231" spans="1:13" s="24" customFormat="1" ht="33" x14ac:dyDescent="0.25">
      <c r="A231" s="64" t="s">
        <v>39</v>
      </c>
      <c r="B231" s="66" t="s">
        <v>27</v>
      </c>
      <c r="C231" s="220">
        <v>80</v>
      </c>
      <c r="D231" s="220"/>
      <c r="E231" s="220"/>
      <c r="F231" s="64" t="s">
        <v>39</v>
      </c>
      <c r="G231" s="66" t="s">
        <v>27</v>
      </c>
      <c r="H231" s="217">
        <f>C231*1.1</f>
        <v>88</v>
      </c>
      <c r="I231" s="218"/>
      <c r="J231" s="219"/>
      <c r="K231" s="217">
        <f t="shared" si="17"/>
        <v>61.599999999999994</v>
      </c>
      <c r="L231" s="218"/>
      <c r="M231" s="219"/>
    </row>
    <row r="232" spans="1:13" ht="16.5" x14ac:dyDescent="0.25">
      <c r="A232" s="60">
        <v>6</v>
      </c>
      <c r="B232" s="62" t="s">
        <v>242</v>
      </c>
      <c r="C232" s="85"/>
      <c r="D232" s="85"/>
      <c r="E232" s="85"/>
      <c r="F232" s="60">
        <v>6</v>
      </c>
      <c r="G232" s="62" t="s">
        <v>242</v>
      </c>
      <c r="H232" s="85"/>
      <c r="I232" s="85"/>
      <c r="J232" s="85"/>
      <c r="K232" s="87"/>
      <c r="L232" s="87"/>
      <c r="M232" s="87"/>
    </row>
    <row r="233" spans="1:13" s="24" customFormat="1" ht="48" customHeight="1" x14ac:dyDescent="0.25">
      <c r="A233" s="64" t="s">
        <v>43</v>
      </c>
      <c r="B233" s="62" t="s">
        <v>1104</v>
      </c>
      <c r="C233" s="85">
        <v>220</v>
      </c>
      <c r="D233" s="85">
        <v>130</v>
      </c>
      <c r="E233" s="85">
        <v>90</v>
      </c>
      <c r="F233" s="64" t="s">
        <v>43</v>
      </c>
      <c r="G233" s="62" t="s">
        <v>1104</v>
      </c>
      <c r="H233" s="85">
        <v>244</v>
      </c>
      <c r="I233" s="85">
        <f>D233*1.11</f>
        <v>144.30000000000001</v>
      </c>
      <c r="J233" s="85">
        <f>E233*1.11</f>
        <v>99.9</v>
      </c>
      <c r="K233" s="87">
        <f t="shared" si="17"/>
        <v>170.79999999999998</v>
      </c>
      <c r="L233" s="87">
        <f t="shared" si="17"/>
        <v>101.01</v>
      </c>
      <c r="M233" s="87">
        <f t="shared" si="17"/>
        <v>69.929999999999993</v>
      </c>
    </row>
    <row r="234" spans="1:13" s="24" customFormat="1" ht="49.5" customHeight="1" x14ac:dyDescent="0.25">
      <c r="A234" s="64" t="s">
        <v>44</v>
      </c>
      <c r="B234" s="62" t="s">
        <v>1105</v>
      </c>
      <c r="C234" s="85">
        <v>350</v>
      </c>
      <c r="D234" s="85">
        <v>240</v>
      </c>
      <c r="E234" s="85">
        <v>160</v>
      </c>
      <c r="F234" s="64" t="s">
        <v>44</v>
      </c>
      <c r="G234" s="62" t="s">
        <v>1105</v>
      </c>
      <c r="H234" s="85">
        <v>385</v>
      </c>
      <c r="I234" s="85">
        <f t="shared" ref="H234:J238" si="23">D234*1.1</f>
        <v>264</v>
      </c>
      <c r="J234" s="85">
        <f t="shared" si="23"/>
        <v>176</v>
      </c>
      <c r="K234" s="87">
        <f t="shared" si="17"/>
        <v>269.5</v>
      </c>
      <c r="L234" s="87">
        <f t="shared" si="17"/>
        <v>184.79999999999998</v>
      </c>
      <c r="M234" s="87">
        <f t="shared" si="17"/>
        <v>123.19999999999999</v>
      </c>
    </row>
    <row r="235" spans="1:13" s="24" customFormat="1" ht="51.75" customHeight="1" x14ac:dyDescent="0.25">
      <c r="A235" s="64" t="s">
        <v>45</v>
      </c>
      <c r="B235" s="62" t="s">
        <v>1106</v>
      </c>
      <c r="C235" s="85">
        <v>380</v>
      </c>
      <c r="D235" s="85">
        <v>260</v>
      </c>
      <c r="E235" s="85">
        <v>180</v>
      </c>
      <c r="F235" s="64" t="s">
        <v>45</v>
      </c>
      <c r="G235" s="62" t="s">
        <v>1106</v>
      </c>
      <c r="H235" s="85">
        <v>420</v>
      </c>
      <c r="I235" s="85">
        <f>D235*1.11</f>
        <v>288.60000000000002</v>
      </c>
      <c r="J235" s="85">
        <f>E235*1.11</f>
        <v>199.8</v>
      </c>
      <c r="K235" s="87">
        <f t="shared" si="17"/>
        <v>294</v>
      </c>
      <c r="L235" s="87">
        <f t="shared" si="17"/>
        <v>202.02</v>
      </c>
      <c r="M235" s="87">
        <f t="shared" si="17"/>
        <v>139.85999999999999</v>
      </c>
    </row>
    <row r="236" spans="1:13" s="24" customFormat="1" ht="60" customHeight="1" x14ac:dyDescent="0.25">
      <c r="A236" s="64" t="s">
        <v>128</v>
      </c>
      <c r="B236" s="62" t="s">
        <v>1107</v>
      </c>
      <c r="C236" s="85">
        <v>500</v>
      </c>
      <c r="D236" s="85">
        <v>280</v>
      </c>
      <c r="E236" s="85">
        <v>170</v>
      </c>
      <c r="F236" s="64" t="s">
        <v>128</v>
      </c>
      <c r="G236" s="62" t="s">
        <v>1107</v>
      </c>
      <c r="H236" s="85">
        <f t="shared" si="23"/>
        <v>550</v>
      </c>
      <c r="I236" s="85">
        <f t="shared" si="23"/>
        <v>308</v>
      </c>
      <c r="J236" s="85">
        <f t="shared" si="23"/>
        <v>187.00000000000003</v>
      </c>
      <c r="K236" s="87">
        <f t="shared" si="17"/>
        <v>385</v>
      </c>
      <c r="L236" s="87">
        <f t="shared" si="17"/>
        <v>215.6</v>
      </c>
      <c r="M236" s="87">
        <f t="shared" si="17"/>
        <v>130.9</v>
      </c>
    </row>
    <row r="237" spans="1:13" s="24" customFormat="1" ht="40.5" customHeight="1" x14ac:dyDescent="0.25">
      <c r="A237" s="64" t="s">
        <v>46</v>
      </c>
      <c r="B237" s="62" t="s">
        <v>1108</v>
      </c>
      <c r="C237" s="85">
        <v>220</v>
      </c>
      <c r="D237" s="85">
        <v>130</v>
      </c>
      <c r="E237" s="85">
        <v>90</v>
      </c>
      <c r="F237" s="64" t="s">
        <v>46</v>
      </c>
      <c r="G237" s="62" t="s">
        <v>1108</v>
      </c>
      <c r="H237" s="85">
        <v>244</v>
      </c>
      <c r="I237" s="85">
        <f>D237*1.11</f>
        <v>144.30000000000001</v>
      </c>
      <c r="J237" s="85">
        <f>E237*1.11</f>
        <v>99.9</v>
      </c>
      <c r="K237" s="87">
        <f t="shared" si="17"/>
        <v>170.79999999999998</v>
      </c>
      <c r="L237" s="87">
        <f t="shared" si="17"/>
        <v>101.01</v>
      </c>
      <c r="M237" s="87">
        <f t="shared" si="17"/>
        <v>69.929999999999993</v>
      </c>
    </row>
    <row r="238" spans="1:13" s="24" customFormat="1" ht="36" customHeight="1" x14ac:dyDescent="0.25">
      <c r="A238" s="64" t="s">
        <v>47</v>
      </c>
      <c r="B238" s="66" t="s">
        <v>25</v>
      </c>
      <c r="C238" s="85">
        <v>90</v>
      </c>
      <c r="D238" s="85">
        <v>85</v>
      </c>
      <c r="E238" s="85">
        <v>80</v>
      </c>
      <c r="F238" s="64" t="s">
        <v>47</v>
      </c>
      <c r="G238" s="66" t="s">
        <v>25</v>
      </c>
      <c r="H238" s="85">
        <f t="shared" si="23"/>
        <v>99.000000000000014</v>
      </c>
      <c r="I238" s="85">
        <f t="shared" si="23"/>
        <v>93.500000000000014</v>
      </c>
      <c r="J238" s="85">
        <f t="shared" si="23"/>
        <v>88</v>
      </c>
      <c r="K238" s="87">
        <f t="shared" si="17"/>
        <v>69.300000000000011</v>
      </c>
      <c r="L238" s="87">
        <f t="shared" si="17"/>
        <v>65.45</v>
      </c>
      <c r="M238" s="87">
        <f t="shared" si="17"/>
        <v>61.599999999999994</v>
      </c>
    </row>
    <row r="239" spans="1:13" s="24" customFormat="1" ht="33" x14ac:dyDescent="0.25">
      <c r="A239" s="64" t="s">
        <v>132</v>
      </c>
      <c r="B239" s="66" t="s">
        <v>27</v>
      </c>
      <c r="C239" s="220">
        <v>80</v>
      </c>
      <c r="D239" s="220"/>
      <c r="E239" s="220"/>
      <c r="F239" s="64" t="s">
        <v>132</v>
      </c>
      <c r="G239" s="66" t="s">
        <v>27</v>
      </c>
      <c r="H239" s="220">
        <f>C239*1.1</f>
        <v>88</v>
      </c>
      <c r="I239" s="220"/>
      <c r="J239" s="220"/>
      <c r="K239" s="217">
        <f t="shared" si="17"/>
        <v>61.599999999999994</v>
      </c>
      <c r="L239" s="218"/>
      <c r="M239" s="219"/>
    </row>
    <row r="240" spans="1:13" ht="16.5" x14ac:dyDescent="0.25">
      <c r="A240" s="60">
        <v>7</v>
      </c>
      <c r="B240" s="62" t="s">
        <v>243</v>
      </c>
      <c r="C240" s="85"/>
      <c r="D240" s="85"/>
      <c r="E240" s="85"/>
      <c r="F240" s="60">
        <v>7</v>
      </c>
      <c r="G240" s="62" t="s">
        <v>243</v>
      </c>
      <c r="H240" s="85"/>
      <c r="I240" s="85"/>
      <c r="J240" s="85"/>
      <c r="K240" s="87"/>
      <c r="L240" s="87"/>
      <c r="M240" s="87"/>
    </row>
    <row r="241" spans="1:13" s="24" customFormat="1" ht="47.25" customHeight="1" x14ac:dyDescent="0.25">
      <c r="A241" s="64" t="s">
        <v>141</v>
      </c>
      <c r="B241" s="62" t="s">
        <v>1109</v>
      </c>
      <c r="C241" s="85">
        <v>170</v>
      </c>
      <c r="D241" s="85">
        <v>130</v>
      </c>
      <c r="E241" s="85">
        <v>100</v>
      </c>
      <c r="F241" s="64" t="s">
        <v>141</v>
      </c>
      <c r="G241" s="62" t="s">
        <v>1109</v>
      </c>
      <c r="H241" s="85">
        <f t="shared" ref="H241:J247" si="24">C241*1.1</f>
        <v>187.00000000000003</v>
      </c>
      <c r="I241" s="85">
        <f t="shared" si="24"/>
        <v>143</v>
      </c>
      <c r="J241" s="85">
        <f t="shared" si="24"/>
        <v>110.00000000000001</v>
      </c>
      <c r="K241" s="87">
        <f t="shared" si="17"/>
        <v>130.9</v>
      </c>
      <c r="L241" s="87">
        <f t="shared" si="17"/>
        <v>100.1</v>
      </c>
      <c r="M241" s="87">
        <f t="shared" si="17"/>
        <v>77</v>
      </c>
    </row>
    <row r="242" spans="1:13" s="24" customFormat="1" ht="48" customHeight="1" x14ac:dyDescent="0.25">
      <c r="A242" s="64" t="s">
        <v>142</v>
      </c>
      <c r="B242" s="62" t="s">
        <v>1110</v>
      </c>
      <c r="C242" s="85">
        <v>300</v>
      </c>
      <c r="D242" s="85">
        <v>180</v>
      </c>
      <c r="E242" s="85">
        <v>140</v>
      </c>
      <c r="F242" s="64" t="s">
        <v>142</v>
      </c>
      <c r="G242" s="62" t="s">
        <v>1110</v>
      </c>
      <c r="H242" s="85">
        <v>330</v>
      </c>
      <c r="I242" s="85">
        <f t="shared" si="24"/>
        <v>198.00000000000003</v>
      </c>
      <c r="J242" s="85">
        <f t="shared" si="24"/>
        <v>154</v>
      </c>
      <c r="K242" s="87">
        <f t="shared" si="17"/>
        <v>230.99999999999997</v>
      </c>
      <c r="L242" s="87">
        <f t="shared" si="17"/>
        <v>138.60000000000002</v>
      </c>
      <c r="M242" s="87">
        <f t="shared" si="17"/>
        <v>107.8</v>
      </c>
    </row>
    <row r="243" spans="1:13" s="24" customFormat="1" ht="41.25" customHeight="1" x14ac:dyDescent="0.25">
      <c r="A243" s="64" t="s">
        <v>143</v>
      </c>
      <c r="B243" s="62" t="s">
        <v>1111</v>
      </c>
      <c r="C243" s="85">
        <v>140</v>
      </c>
      <c r="D243" s="85">
        <v>110</v>
      </c>
      <c r="E243" s="85">
        <v>85</v>
      </c>
      <c r="F243" s="64" t="s">
        <v>143</v>
      </c>
      <c r="G243" s="62" t="s">
        <v>1111</v>
      </c>
      <c r="H243" s="85">
        <v>155</v>
      </c>
      <c r="I243" s="85">
        <f>D243*1.11</f>
        <v>122.10000000000001</v>
      </c>
      <c r="J243" s="85">
        <f>E243*1.11</f>
        <v>94.350000000000009</v>
      </c>
      <c r="K243" s="87">
        <f t="shared" si="17"/>
        <v>108.5</v>
      </c>
      <c r="L243" s="87">
        <f t="shared" si="17"/>
        <v>85.47</v>
      </c>
      <c r="M243" s="87">
        <f t="shared" si="17"/>
        <v>66.045000000000002</v>
      </c>
    </row>
    <row r="244" spans="1:13" s="24" customFormat="1" ht="43.5" customHeight="1" x14ac:dyDescent="0.25">
      <c r="A244" s="64" t="s">
        <v>144</v>
      </c>
      <c r="B244" s="62" t="s">
        <v>1112</v>
      </c>
      <c r="C244" s="85">
        <v>120</v>
      </c>
      <c r="D244" s="85">
        <v>100</v>
      </c>
      <c r="E244" s="85">
        <v>80</v>
      </c>
      <c r="F244" s="64" t="s">
        <v>144</v>
      </c>
      <c r="G244" s="62" t="s">
        <v>1112</v>
      </c>
      <c r="H244" s="85">
        <v>138</v>
      </c>
      <c r="I244" s="85">
        <f>D244*1.15</f>
        <v>114.99999999999999</v>
      </c>
      <c r="J244" s="85">
        <f>E244*1.15</f>
        <v>92</v>
      </c>
      <c r="K244" s="87">
        <f t="shared" si="17"/>
        <v>96.6</v>
      </c>
      <c r="L244" s="87">
        <f t="shared" si="17"/>
        <v>80.499999999999986</v>
      </c>
      <c r="M244" s="87">
        <f t="shared" si="17"/>
        <v>64.399999999999991</v>
      </c>
    </row>
    <row r="245" spans="1:13" s="24" customFormat="1" ht="43.5" customHeight="1" x14ac:dyDescent="0.25">
      <c r="A245" s="64" t="s">
        <v>146</v>
      </c>
      <c r="B245" s="62" t="s">
        <v>1113</v>
      </c>
      <c r="C245" s="85">
        <v>120</v>
      </c>
      <c r="D245" s="85">
        <v>100</v>
      </c>
      <c r="E245" s="85">
        <v>80</v>
      </c>
      <c r="F245" s="64" t="s">
        <v>146</v>
      </c>
      <c r="G245" s="62" t="s">
        <v>1113</v>
      </c>
      <c r="H245" s="85">
        <v>134</v>
      </c>
      <c r="I245" s="85">
        <f>D245*1.12</f>
        <v>112.00000000000001</v>
      </c>
      <c r="J245" s="85">
        <f>E245*1.12</f>
        <v>89.600000000000009</v>
      </c>
      <c r="K245" s="87">
        <f t="shared" si="17"/>
        <v>93.8</v>
      </c>
      <c r="L245" s="87">
        <f t="shared" si="17"/>
        <v>78.400000000000006</v>
      </c>
      <c r="M245" s="87">
        <f t="shared" si="17"/>
        <v>62.72</v>
      </c>
    </row>
    <row r="246" spans="1:13" s="24" customFormat="1" ht="37.5" customHeight="1" x14ac:dyDescent="0.25">
      <c r="A246" s="64" t="s">
        <v>148</v>
      </c>
      <c r="B246" s="62" t="s">
        <v>1114</v>
      </c>
      <c r="C246" s="85">
        <v>120</v>
      </c>
      <c r="D246" s="85">
        <v>100</v>
      </c>
      <c r="E246" s="85">
        <v>80</v>
      </c>
      <c r="F246" s="64" t="s">
        <v>148</v>
      </c>
      <c r="G246" s="62" t="s">
        <v>1114</v>
      </c>
      <c r="H246" s="85">
        <v>134</v>
      </c>
      <c r="I246" s="85">
        <f>D246*1.12</f>
        <v>112.00000000000001</v>
      </c>
      <c r="J246" s="85">
        <f>E246*1.12</f>
        <v>89.600000000000009</v>
      </c>
      <c r="K246" s="87">
        <f t="shared" si="17"/>
        <v>93.8</v>
      </c>
      <c r="L246" s="87">
        <f t="shared" si="17"/>
        <v>78.400000000000006</v>
      </c>
      <c r="M246" s="87">
        <f t="shared" si="17"/>
        <v>62.72</v>
      </c>
    </row>
    <row r="247" spans="1:13" s="24" customFormat="1" ht="39.75" customHeight="1" x14ac:dyDescent="0.25">
      <c r="A247" s="64" t="s">
        <v>152</v>
      </c>
      <c r="B247" s="66" t="s">
        <v>25</v>
      </c>
      <c r="C247" s="85">
        <v>90</v>
      </c>
      <c r="D247" s="85">
        <v>85</v>
      </c>
      <c r="E247" s="85">
        <v>80</v>
      </c>
      <c r="F247" s="64" t="s">
        <v>152</v>
      </c>
      <c r="G247" s="66" t="s">
        <v>25</v>
      </c>
      <c r="H247" s="85">
        <f t="shared" si="24"/>
        <v>99.000000000000014</v>
      </c>
      <c r="I247" s="85">
        <f t="shared" si="24"/>
        <v>93.500000000000014</v>
      </c>
      <c r="J247" s="85">
        <f t="shared" si="24"/>
        <v>88</v>
      </c>
      <c r="K247" s="87">
        <f t="shared" si="17"/>
        <v>69.300000000000011</v>
      </c>
      <c r="L247" s="87">
        <f t="shared" si="17"/>
        <v>65.45</v>
      </c>
      <c r="M247" s="87">
        <f t="shared" si="17"/>
        <v>61.599999999999994</v>
      </c>
    </row>
    <row r="248" spans="1:13" s="24" customFormat="1" ht="33" x14ac:dyDescent="0.25">
      <c r="A248" s="64" t="s">
        <v>153</v>
      </c>
      <c r="B248" s="66" t="s">
        <v>27</v>
      </c>
      <c r="C248" s="220">
        <v>80</v>
      </c>
      <c r="D248" s="220"/>
      <c r="E248" s="220"/>
      <c r="F248" s="64" t="s">
        <v>153</v>
      </c>
      <c r="G248" s="66" t="s">
        <v>27</v>
      </c>
      <c r="H248" s="217">
        <f>C248*1.1</f>
        <v>88</v>
      </c>
      <c r="I248" s="218"/>
      <c r="J248" s="219"/>
      <c r="K248" s="217">
        <f t="shared" si="17"/>
        <v>61.599999999999994</v>
      </c>
      <c r="L248" s="218"/>
      <c r="M248" s="219"/>
    </row>
    <row r="249" spans="1:13" ht="16.5" x14ac:dyDescent="0.25">
      <c r="A249" s="60">
        <v>8</v>
      </c>
      <c r="B249" s="62" t="s">
        <v>244</v>
      </c>
      <c r="C249" s="85"/>
      <c r="D249" s="85"/>
      <c r="E249" s="85"/>
      <c r="F249" s="60">
        <v>8</v>
      </c>
      <c r="G249" s="62" t="s">
        <v>244</v>
      </c>
      <c r="H249" s="85"/>
      <c r="I249" s="85"/>
      <c r="J249" s="85"/>
      <c r="K249" s="87"/>
      <c r="L249" s="87"/>
      <c r="M249" s="87"/>
    </row>
    <row r="250" spans="1:13" s="24" customFormat="1" ht="49.5" customHeight="1" x14ac:dyDescent="0.25">
      <c r="A250" s="64" t="s">
        <v>13</v>
      </c>
      <c r="B250" s="62" t="s">
        <v>1115</v>
      </c>
      <c r="C250" s="85">
        <v>120</v>
      </c>
      <c r="D250" s="85">
        <v>100</v>
      </c>
      <c r="E250" s="85">
        <v>80</v>
      </c>
      <c r="F250" s="64" t="s">
        <v>13</v>
      </c>
      <c r="G250" s="62" t="s">
        <v>1115</v>
      </c>
      <c r="H250" s="85">
        <v>180</v>
      </c>
      <c r="I250" s="85">
        <f>D250*1.5</f>
        <v>150</v>
      </c>
      <c r="J250" s="85">
        <f>E250*1.5</f>
        <v>120</v>
      </c>
      <c r="K250" s="87">
        <f t="shared" si="17"/>
        <v>125.99999999999999</v>
      </c>
      <c r="L250" s="87">
        <f t="shared" si="17"/>
        <v>105</v>
      </c>
      <c r="M250" s="87">
        <f t="shared" si="17"/>
        <v>84</v>
      </c>
    </row>
    <row r="251" spans="1:13" s="24" customFormat="1" ht="43.5" customHeight="1" x14ac:dyDescent="0.25">
      <c r="A251" s="64" t="s">
        <v>15</v>
      </c>
      <c r="B251" s="62" t="s">
        <v>1116</v>
      </c>
      <c r="C251" s="85">
        <v>100</v>
      </c>
      <c r="D251" s="85">
        <v>90</v>
      </c>
      <c r="E251" s="85">
        <v>80</v>
      </c>
      <c r="F251" s="64" t="s">
        <v>15</v>
      </c>
      <c r="G251" s="62" t="s">
        <v>1116</v>
      </c>
      <c r="H251" s="85">
        <f t="shared" ref="H251:J253" si="25">C251*1.1</f>
        <v>110.00000000000001</v>
      </c>
      <c r="I251" s="85">
        <f t="shared" si="25"/>
        <v>99.000000000000014</v>
      </c>
      <c r="J251" s="85">
        <f t="shared" si="25"/>
        <v>88</v>
      </c>
      <c r="K251" s="87">
        <f t="shared" si="17"/>
        <v>77</v>
      </c>
      <c r="L251" s="87">
        <f t="shared" si="17"/>
        <v>69.300000000000011</v>
      </c>
      <c r="M251" s="87">
        <f t="shared" si="17"/>
        <v>61.599999999999994</v>
      </c>
    </row>
    <row r="252" spans="1:13" s="24" customFormat="1" ht="66.75" customHeight="1" x14ac:dyDescent="0.25">
      <c r="A252" s="64" t="s">
        <v>16</v>
      </c>
      <c r="B252" s="62" t="s">
        <v>1117</v>
      </c>
      <c r="C252" s="85">
        <v>120</v>
      </c>
      <c r="D252" s="85">
        <v>100</v>
      </c>
      <c r="E252" s="85">
        <v>80</v>
      </c>
      <c r="F252" s="64" t="s">
        <v>16</v>
      </c>
      <c r="G252" s="62" t="s">
        <v>1117</v>
      </c>
      <c r="H252" s="85">
        <v>133</v>
      </c>
      <c r="I252" s="85">
        <f>D252*1.11</f>
        <v>111.00000000000001</v>
      </c>
      <c r="J252" s="85">
        <f>E252*1.11</f>
        <v>88.800000000000011</v>
      </c>
      <c r="K252" s="87">
        <f t="shared" si="17"/>
        <v>93.1</v>
      </c>
      <c r="L252" s="87">
        <f t="shared" si="17"/>
        <v>77.7</v>
      </c>
      <c r="M252" s="87">
        <f t="shared" si="17"/>
        <v>62.160000000000004</v>
      </c>
    </row>
    <row r="253" spans="1:13" s="24" customFormat="1" ht="33" customHeight="1" x14ac:dyDescent="0.25">
      <c r="A253" s="64" t="s">
        <v>155</v>
      </c>
      <c r="B253" s="66" t="s">
        <v>25</v>
      </c>
      <c r="C253" s="85">
        <v>100</v>
      </c>
      <c r="D253" s="85">
        <v>90</v>
      </c>
      <c r="E253" s="85">
        <v>80</v>
      </c>
      <c r="F253" s="64" t="s">
        <v>155</v>
      </c>
      <c r="G253" s="66" t="s">
        <v>25</v>
      </c>
      <c r="H253" s="85">
        <f t="shared" si="25"/>
        <v>110.00000000000001</v>
      </c>
      <c r="I253" s="85">
        <f t="shared" si="25"/>
        <v>99.000000000000014</v>
      </c>
      <c r="J253" s="85">
        <f t="shared" si="25"/>
        <v>88</v>
      </c>
      <c r="K253" s="87">
        <f t="shared" si="17"/>
        <v>77</v>
      </c>
      <c r="L253" s="87">
        <f t="shared" si="17"/>
        <v>69.300000000000011</v>
      </c>
      <c r="M253" s="87">
        <f t="shared" si="17"/>
        <v>61.599999999999994</v>
      </c>
    </row>
    <row r="254" spans="1:13" s="24" customFormat="1" ht="33" x14ac:dyDescent="0.25">
      <c r="A254" s="64" t="s">
        <v>157</v>
      </c>
      <c r="B254" s="66" t="s">
        <v>27</v>
      </c>
      <c r="C254" s="220">
        <v>80</v>
      </c>
      <c r="D254" s="220"/>
      <c r="E254" s="220"/>
      <c r="F254" s="64" t="s">
        <v>157</v>
      </c>
      <c r="G254" s="66" t="s">
        <v>27</v>
      </c>
      <c r="H254" s="217">
        <f>C254*1.1</f>
        <v>88</v>
      </c>
      <c r="I254" s="218"/>
      <c r="J254" s="219"/>
      <c r="K254" s="217">
        <f t="shared" si="17"/>
        <v>61.599999999999994</v>
      </c>
      <c r="L254" s="218"/>
      <c r="M254" s="219"/>
    </row>
    <row r="255" spans="1:13" ht="16.5" x14ac:dyDescent="0.25">
      <c r="A255" s="60">
        <v>9</v>
      </c>
      <c r="B255" s="62" t="s">
        <v>245</v>
      </c>
      <c r="C255" s="85"/>
      <c r="D255" s="85"/>
      <c r="E255" s="85"/>
      <c r="F255" s="60">
        <v>9</v>
      </c>
      <c r="G255" s="62" t="s">
        <v>245</v>
      </c>
      <c r="H255" s="85"/>
      <c r="I255" s="85"/>
      <c r="J255" s="85"/>
      <c r="K255" s="87"/>
      <c r="L255" s="87"/>
      <c r="M255" s="87"/>
    </row>
    <row r="256" spans="1:13" s="24" customFormat="1" ht="37.5" customHeight="1" x14ac:dyDescent="0.25">
      <c r="A256" s="64" t="s">
        <v>159</v>
      </c>
      <c r="B256" s="66" t="s">
        <v>246</v>
      </c>
      <c r="C256" s="85">
        <v>110</v>
      </c>
      <c r="D256" s="85">
        <v>90</v>
      </c>
      <c r="E256" s="85">
        <v>80</v>
      </c>
      <c r="F256" s="64" t="s">
        <v>159</v>
      </c>
      <c r="G256" s="66" t="s">
        <v>246</v>
      </c>
      <c r="H256" s="85">
        <v>129</v>
      </c>
      <c r="I256" s="85">
        <f>D256*1.17</f>
        <v>105.3</v>
      </c>
      <c r="J256" s="85">
        <f>E256*1.17</f>
        <v>93.6</v>
      </c>
      <c r="K256" s="87">
        <f t="shared" si="17"/>
        <v>90.3</v>
      </c>
      <c r="L256" s="87">
        <f t="shared" si="17"/>
        <v>73.709999999999994</v>
      </c>
      <c r="M256" s="87">
        <f t="shared" si="17"/>
        <v>65.52</v>
      </c>
    </row>
    <row r="257" spans="1:13" s="24" customFormat="1" ht="49.5" customHeight="1" x14ac:dyDescent="0.25">
      <c r="A257" s="64" t="s">
        <v>160</v>
      </c>
      <c r="B257" s="66" t="s">
        <v>247</v>
      </c>
      <c r="C257" s="85">
        <v>130</v>
      </c>
      <c r="D257" s="85">
        <v>90</v>
      </c>
      <c r="E257" s="85">
        <v>80</v>
      </c>
      <c r="F257" s="64" t="s">
        <v>160</v>
      </c>
      <c r="G257" s="66" t="s">
        <v>247</v>
      </c>
      <c r="H257" s="85">
        <v>143</v>
      </c>
      <c r="I257" s="85">
        <f t="shared" ref="H257:J260" si="26">D257*1.1</f>
        <v>99.000000000000014</v>
      </c>
      <c r="J257" s="85">
        <f t="shared" si="26"/>
        <v>88</v>
      </c>
      <c r="K257" s="87">
        <f t="shared" si="17"/>
        <v>100.1</v>
      </c>
      <c r="L257" s="87">
        <f t="shared" si="17"/>
        <v>69.300000000000011</v>
      </c>
      <c r="M257" s="87">
        <f t="shared" si="17"/>
        <v>61.599999999999994</v>
      </c>
    </row>
    <row r="258" spans="1:13" s="24" customFormat="1" ht="45.75" customHeight="1" x14ac:dyDescent="0.25">
      <c r="A258" s="64" t="s">
        <v>161</v>
      </c>
      <c r="B258" s="66" t="s">
        <v>248</v>
      </c>
      <c r="C258" s="85">
        <v>110</v>
      </c>
      <c r="D258" s="85">
        <v>90</v>
      </c>
      <c r="E258" s="85">
        <v>80</v>
      </c>
      <c r="F258" s="64" t="s">
        <v>161</v>
      </c>
      <c r="G258" s="66" t="s">
        <v>248</v>
      </c>
      <c r="H258" s="85">
        <v>129</v>
      </c>
      <c r="I258" s="85">
        <f>D258*1.17</f>
        <v>105.3</v>
      </c>
      <c r="J258" s="85">
        <f>E258*1.17</f>
        <v>93.6</v>
      </c>
      <c r="K258" s="87">
        <f t="shared" si="17"/>
        <v>90.3</v>
      </c>
      <c r="L258" s="87">
        <f t="shared" si="17"/>
        <v>73.709999999999994</v>
      </c>
      <c r="M258" s="87">
        <f t="shared" si="17"/>
        <v>65.52</v>
      </c>
    </row>
    <row r="259" spans="1:13" s="24" customFormat="1" ht="26.25" customHeight="1" x14ac:dyDescent="0.25">
      <c r="A259" s="64" t="s">
        <v>162</v>
      </c>
      <c r="B259" s="66" t="s">
        <v>249</v>
      </c>
      <c r="C259" s="85">
        <v>120</v>
      </c>
      <c r="D259" s="85">
        <v>90</v>
      </c>
      <c r="E259" s="85">
        <v>80</v>
      </c>
      <c r="F259" s="64" t="s">
        <v>162</v>
      </c>
      <c r="G259" s="66" t="s">
        <v>249</v>
      </c>
      <c r="H259" s="85">
        <v>133</v>
      </c>
      <c r="I259" s="85">
        <f>D259*1.11</f>
        <v>99.9</v>
      </c>
      <c r="J259" s="85">
        <f>E259*1.11</f>
        <v>88.800000000000011</v>
      </c>
      <c r="K259" s="87">
        <f t="shared" si="17"/>
        <v>93.1</v>
      </c>
      <c r="L259" s="87">
        <f t="shared" si="17"/>
        <v>69.929999999999993</v>
      </c>
      <c r="M259" s="87">
        <f t="shared" si="17"/>
        <v>62.160000000000004</v>
      </c>
    </row>
    <row r="260" spans="1:13" s="24" customFormat="1" ht="42.75" customHeight="1" x14ac:dyDescent="0.25">
      <c r="A260" s="64" t="s">
        <v>163</v>
      </c>
      <c r="B260" s="66" t="s">
        <v>25</v>
      </c>
      <c r="C260" s="85">
        <v>100</v>
      </c>
      <c r="D260" s="85">
        <v>85</v>
      </c>
      <c r="E260" s="85">
        <v>80</v>
      </c>
      <c r="F260" s="64" t="s">
        <v>163</v>
      </c>
      <c r="G260" s="66" t="s">
        <v>25</v>
      </c>
      <c r="H260" s="85">
        <f t="shared" si="26"/>
        <v>110.00000000000001</v>
      </c>
      <c r="I260" s="85">
        <f t="shared" si="26"/>
        <v>93.500000000000014</v>
      </c>
      <c r="J260" s="85">
        <f t="shared" si="26"/>
        <v>88</v>
      </c>
      <c r="K260" s="87">
        <f t="shared" si="17"/>
        <v>77</v>
      </c>
      <c r="L260" s="87">
        <f t="shared" si="17"/>
        <v>65.45</v>
      </c>
      <c r="M260" s="87">
        <f t="shared" si="17"/>
        <v>61.599999999999994</v>
      </c>
    </row>
    <row r="261" spans="1:13" s="24" customFormat="1" ht="25.5" customHeight="1" x14ac:dyDescent="0.25">
      <c r="A261" s="64" t="s">
        <v>165</v>
      </c>
      <c r="B261" s="66" t="s">
        <v>27</v>
      </c>
      <c r="C261" s="220">
        <v>80</v>
      </c>
      <c r="D261" s="220"/>
      <c r="E261" s="220"/>
      <c r="F261" s="64" t="s">
        <v>165</v>
      </c>
      <c r="G261" s="66" t="s">
        <v>27</v>
      </c>
      <c r="H261" s="220">
        <f>C261*1.1</f>
        <v>88</v>
      </c>
      <c r="I261" s="220"/>
      <c r="J261" s="220"/>
      <c r="K261" s="217">
        <f t="shared" si="17"/>
        <v>61.599999999999994</v>
      </c>
      <c r="L261" s="218"/>
      <c r="M261" s="219"/>
    </row>
    <row r="262" spans="1:13" ht="19.5" customHeight="1" x14ac:dyDescent="0.25"/>
    <row r="263" spans="1:13" ht="28.7" customHeight="1" x14ac:dyDescent="0.25"/>
    <row r="264" spans="1:13" ht="48.2" customHeight="1" x14ac:dyDescent="0.25"/>
  </sheetData>
  <autoFilter ref="A6:J261"/>
  <mergeCells count="61">
    <mergeCell ref="C239:E239"/>
    <mergeCell ref="H239:J239"/>
    <mergeCell ref="K239:M239"/>
    <mergeCell ref="C248:E248"/>
    <mergeCell ref="H248:J248"/>
    <mergeCell ref="K248:M248"/>
    <mergeCell ref="C254:E254"/>
    <mergeCell ref="H254:J254"/>
    <mergeCell ref="K254:M254"/>
    <mergeCell ref="C261:E261"/>
    <mergeCell ref="H261:J261"/>
    <mergeCell ref="K261:M261"/>
    <mergeCell ref="C231:E231"/>
    <mergeCell ref="H231:J231"/>
    <mergeCell ref="K231:M231"/>
    <mergeCell ref="K209:M209"/>
    <mergeCell ref="C216:E216"/>
    <mergeCell ref="H216:J216"/>
    <mergeCell ref="K216:M216"/>
    <mergeCell ref="H209:J209"/>
    <mergeCell ref="C225:E225"/>
    <mergeCell ref="H225:J225"/>
    <mergeCell ref="K225:M225"/>
    <mergeCell ref="A180:A182"/>
    <mergeCell ref="F180:F182"/>
    <mergeCell ref="A190:A192"/>
    <mergeCell ref="F190:F192"/>
    <mergeCell ref="C209:E209"/>
    <mergeCell ref="A130:A132"/>
    <mergeCell ref="F130:F132"/>
    <mergeCell ref="A146:A148"/>
    <mergeCell ref="F146:F148"/>
    <mergeCell ref="A166:A168"/>
    <mergeCell ref="F166:F168"/>
    <mergeCell ref="A92:A95"/>
    <mergeCell ref="F92:F95"/>
    <mergeCell ref="A110:A112"/>
    <mergeCell ref="F110:F112"/>
    <mergeCell ref="A122:A124"/>
    <mergeCell ref="F122:F124"/>
    <mergeCell ref="A52:A54"/>
    <mergeCell ref="F52:F54"/>
    <mergeCell ref="A68:A70"/>
    <mergeCell ref="F68:F70"/>
    <mergeCell ref="A80:A82"/>
    <mergeCell ref="F80:F82"/>
    <mergeCell ref="K4:M4"/>
    <mergeCell ref="A28:A30"/>
    <mergeCell ref="F28:F30"/>
    <mergeCell ref="A1:E1"/>
    <mergeCell ref="F1:J1"/>
    <mergeCell ref="C3:E3"/>
    <mergeCell ref="H3:J3"/>
    <mergeCell ref="A4:A6"/>
    <mergeCell ref="B4:B6"/>
    <mergeCell ref="C4:E4"/>
    <mergeCell ref="H4:J4"/>
    <mergeCell ref="K5:M5"/>
    <mergeCell ref="F5:F6"/>
    <mergeCell ref="G5:G6"/>
    <mergeCell ref="K2:M2"/>
  </mergeCells>
  <printOptions horizontalCentered="1"/>
  <pageMargins left="0.28740157500000002" right="0.19055118110236199" top="0.49055118110236201" bottom="0.140551181" header="0.118110236220472" footer="0.118110236220472"/>
  <pageSetup scale="95" firstPageNumber="4" orientation="portrait"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5"/>
  <sheetViews>
    <sheetView topLeftCell="G13" zoomScaleNormal="100" workbookViewId="0">
      <selection activeCell="H18" sqref="H18"/>
    </sheetView>
  </sheetViews>
  <sheetFormatPr defaultRowHeight="15.75" x14ac:dyDescent="0.25"/>
  <cols>
    <col min="1" max="1" width="6.28515625" style="40" hidden="1" customWidth="1"/>
    <col min="2" max="3" width="45.42578125" style="40" hidden="1" customWidth="1"/>
    <col min="4" max="4" width="8.5703125" style="7" hidden="1" customWidth="1"/>
    <col min="5" max="5" width="8.28515625" style="40" hidden="1" customWidth="1"/>
    <col min="6" max="6" width="8.5703125" style="40" hidden="1" customWidth="1"/>
    <col min="7" max="7" width="7.42578125" style="40" customWidth="1"/>
    <col min="8" max="8" width="59" style="40" customWidth="1"/>
    <col min="9" max="9" width="13.85546875" style="7" customWidth="1"/>
    <col min="10" max="10" width="11.42578125" style="40" customWidth="1"/>
    <col min="11" max="11" width="14.42578125" style="40" customWidth="1"/>
    <col min="12" max="253" width="9.140625" style="40"/>
    <col min="254" max="254" width="6.28515625" style="40" customWidth="1"/>
    <col min="255" max="256" width="45.42578125" style="40" customWidth="1"/>
    <col min="257" max="257" width="8.5703125" style="40" customWidth="1"/>
    <col min="258" max="258" width="8.28515625" style="40" customWidth="1"/>
    <col min="259" max="259" width="8.5703125" style="40" customWidth="1"/>
    <col min="260" max="260" width="6.28515625" style="40" customWidth="1"/>
    <col min="261" max="261" width="41.140625" style="40" customWidth="1"/>
    <col min="262" max="262" width="9.28515625" style="40" customWidth="1"/>
    <col min="263" max="263" width="8.28515625" style="40" customWidth="1"/>
    <col min="264" max="265" width="9.140625" style="40" customWidth="1"/>
    <col min="266" max="509" width="9.140625" style="40"/>
    <col min="510" max="510" width="6.28515625" style="40" customWidth="1"/>
    <col min="511" max="512" width="45.42578125" style="40" customWidth="1"/>
    <col min="513" max="513" width="8.5703125" style="40" customWidth="1"/>
    <col min="514" max="514" width="8.28515625" style="40" customWidth="1"/>
    <col min="515" max="515" width="8.5703125" style="40" customWidth="1"/>
    <col min="516" max="516" width="6.28515625" style="40" customWidth="1"/>
    <col min="517" max="517" width="41.140625" style="40" customWidth="1"/>
    <col min="518" max="518" width="9.28515625" style="40" customWidth="1"/>
    <col min="519" max="519" width="8.28515625" style="40" customWidth="1"/>
    <col min="520" max="521" width="9.140625" style="40" customWidth="1"/>
    <col min="522" max="765" width="9.140625" style="40"/>
    <col min="766" max="766" width="6.28515625" style="40" customWidth="1"/>
    <col min="767" max="768" width="45.42578125" style="40" customWidth="1"/>
    <col min="769" max="769" width="8.5703125" style="40" customWidth="1"/>
    <col min="770" max="770" width="8.28515625" style="40" customWidth="1"/>
    <col min="771" max="771" width="8.5703125" style="40" customWidth="1"/>
    <col min="772" max="772" width="6.28515625" style="40" customWidth="1"/>
    <col min="773" max="773" width="41.140625" style="40" customWidth="1"/>
    <col min="774" max="774" width="9.28515625" style="40" customWidth="1"/>
    <col min="775" max="775" width="8.28515625" style="40" customWidth="1"/>
    <col min="776" max="777" width="9.140625" style="40" customWidth="1"/>
    <col min="778" max="1021" width="9.140625" style="40"/>
    <col min="1022" max="1022" width="6.28515625" style="40" customWidth="1"/>
    <col min="1023" max="1024" width="45.42578125" style="40" customWidth="1"/>
    <col min="1025" max="1025" width="8.5703125" style="40" customWidth="1"/>
    <col min="1026" max="1026" width="8.28515625" style="40" customWidth="1"/>
    <col min="1027" max="1027" width="8.5703125" style="40" customWidth="1"/>
    <col min="1028" max="1028" width="6.28515625" style="40" customWidth="1"/>
    <col min="1029" max="1029" width="41.140625" style="40" customWidth="1"/>
    <col min="1030" max="1030" width="9.28515625" style="40" customWidth="1"/>
    <col min="1031" max="1031" width="8.28515625" style="40" customWidth="1"/>
    <col min="1032" max="1033" width="9.140625" style="40" customWidth="1"/>
    <col min="1034" max="1277" width="9.140625" style="40"/>
    <col min="1278" max="1278" width="6.28515625" style="40" customWidth="1"/>
    <col min="1279" max="1280" width="45.42578125" style="40" customWidth="1"/>
    <col min="1281" max="1281" width="8.5703125" style="40" customWidth="1"/>
    <col min="1282" max="1282" width="8.28515625" style="40" customWidth="1"/>
    <col min="1283" max="1283" width="8.5703125" style="40" customWidth="1"/>
    <col min="1284" max="1284" width="6.28515625" style="40" customWidth="1"/>
    <col min="1285" max="1285" width="41.140625" style="40" customWidth="1"/>
    <col min="1286" max="1286" width="9.28515625" style="40" customWidth="1"/>
    <col min="1287" max="1287" width="8.28515625" style="40" customWidth="1"/>
    <col min="1288" max="1289" width="9.140625" style="40" customWidth="1"/>
    <col min="1290" max="1533" width="9.140625" style="40"/>
    <col min="1534" max="1534" width="6.28515625" style="40" customWidth="1"/>
    <col min="1535" max="1536" width="45.42578125" style="40" customWidth="1"/>
    <col min="1537" max="1537" width="8.5703125" style="40" customWidth="1"/>
    <col min="1538" max="1538" width="8.28515625" style="40" customWidth="1"/>
    <col min="1539" max="1539" width="8.5703125" style="40" customWidth="1"/>
    <col min="1540" max="1540" width="6.28515625" style="40" customWidth="1"/>
    <col min="1541" max="1541" width="41.140625" style="40" customWidth="1"/>
    <col min="1542" max="1542" width="9.28515625" style="40" customWidth="1"/>
    <col min="1543" max="1543" width="8.28515625" style="40" customWidth="1"/>
    <col min="1544" max="1545" width="9.140625" style="40" customWidth="1"/>
    <col min="1546" max="1789" width="9.140625" style="40"/>
    <col min="1790" max="1790" width="6.28515625" style="40" customWidth="1"/>
    <col min="1791" max="1792" width="45.42578125" style="40" customWidth="1"/>
    <col min="1793" max="1793" width="8.5703125" style="40" customWidth="1"/>
    <col min="1794" max="1794" width="8.28515625" style="40" customWidth="1"/>
    <col min="1795" max="1795" width="8.5703125" style="40" customWidth="1"/>
    <col min="1796" max="1796" width="6.28515625" style="40" customWidth="1"/>
    <col min="1797" max="1797" width="41.140625" style="40" customWidth="1"/>
    <col min="1798" max="1798" width="9.28515625" style="40" customWidth="1"/>
    <col min="1799" max="1799" width="8.28515625" style="40" customWidth="1"/>
    <col min="1800" max="1801" width="9.140625" style="40" customWidth="1"/>
    <col min="1802" max="2045" width="9.140625" style="40"/>
    <col min="2046" max="2046" width="6.28515625" style="40" customWidth="1"/>
    <col min="2047" max="2048" width="45.42578125" style="40" customWidth="1"/>
    <col min="2049" max="2049" width="8.5703125" style="40" customWidth="1"/>
    <col min="2050" max="2050" width="8.28515625" style="40" customWidth="1"/>
    <col min="2051" max="2051" width="8.5703125" style="40" customWidth="1"/>
    <col min="2052" max="2052" width="6.28515625" style="40" customWidth="1"/>
    <col min="2053" max="2053" width="41.140625" style="40" customWidth="1"/>
    <col min="2054" max="2054" width="9.28515625" style="40" customWidth="1"/>
    <col min="2055" max="2055" width="8.28515625" style="40" customWidth="1"/>
    <col min="2056" max="2057" width="9.140625" style="40" customWidth="1"/>
    <col min="2058" max="2301" width="9.140625" style="40"/>
    <col min="2302" max="2302" width="6.28515625" style="40" customWidth="1"/>
    <col min="2303" max="2304" width="45.42578125" style="40" customWidth="1"/>
    <col min="2305" max="2305" width="8.5703125" style="40" customWidth="1"/>
    <col min="2306" max="2306" width="8.28515625" style="40" customWidth="1"/>
    <col min="2307" max="2307" width="8.5703125" style="40" customWidth="1"/>
    <col min="2308" max="2308" width="6.28515625" style="40" customWidth="1"/>
    <col min="2309" max="2309" width="41.140625" style="40" customWidth="1"/>
    <col min="2310" max="2310" width="9.28515625" style="40" customWidth="1"/>
    <col min="2311" max="2311" width="8.28515625" style="40" customWidth="1"/>
    <col min="2312" max="2313" width="9.140625" style="40" customWidth="1"/>
    <col min="2314" max="2557" width="9.140625" style="40"/>
    <col min="2558" max="2558" width="6.28515625" style="40" customWidth="1"/>
    <col min="2559" max="2560" width="45.42578125" style="40" customWidth="1"/>
    <col min="2561" max="2561" width="8.5703125" style="40" customWidth="1"/>
    <col min="2562" max="2562" width="8.28515625" style="40" customWidth="1"/>
    <col min="2563" max="2563" width="8.5703125" style="40" customWidth="1"/>
    <col min="2564" max="2564" width="6.28515625" style="40" customWidth="1"/>
    <col min="2565" max="2565" width="41.140625" style="40" customWidth="1"/>
    <col min="2566" max="2566" width="9.28515625" style="40" customWidth="1"/>
    <col min="2567" max="2567" width="8.28515625" style="40" customWidth="1"/>
    <col min="2568" max="2569" width="9.140625" style="40" customWidth="1"/>
    <col min="2570" max="2813" width="9.140625" style="40"/>
    <col min="2814" max="2814" width="6.28515625" style="40" customWidth="1"/>
    <col min="2815" max="2816" width="45.42578125" style="40" customWidth="1"/>
    <col min="2817" max="2817" width="8.5703125" style="40" customWidth="1"/>
    <col min="2818" max="2818" width="8.28515625" style="40" customWidth="1"/>
    <col min="2819" max="2819" width="8.5703125" style="40" customWidth="1"/>
    <col min="2820" max="2820" width="6.28515625" style="40" customWidth="1"/>
    <col min="2821" max="2821" width="41.140625" style="40" customWidth="1"/>
    <col min="2822" max="2822" width="9.28515625" style="40" customWidth="1"/>
    <col min="2823" max="2823" width="8.28515625" style="40" customWidth="1"/>
    <col min="2824" max="2825" width="9.140625" style="40" customWidth="1"/>
    <col min="2826" max="3069" width="9.140625" style="40"/>
    <col min="3070" max="3070" width="6.28515625" style="40" customWidth="1"/>
    <col min="3071" max="3072" width="45.42578125" style="40" customWidth="1"/>
    <col min="3073" max="3073" width="8.5703125" style="40" customWidth="1"/>
    <col min="3074" max="3074" width="8.28515625" style="40" customWidth="1"/>
    <col min="3075" max="3075" width="8.5703125" style="40" customWidth="1"/>
    <col min="3076" max="3076" width="6.28515625" style="40" customWidth="1"/>
    <col min="3077" max="3077" width="41.140625" style="40" customWidth="1"/>
    <col min="3078" max="3078" width="9.28515625" style="40" customWidth="1"/>
    <col min="3079" max="3079" width="8.28515625" style="40" customWidth="1"/>
    <col min="3080" max="3081" width="9.140625" style="40" customWidth="1"/>
    <col min="3082" max="3325" width="9.140625" style="40"/>
    <col min="3326" max="3326" width="6.28515625" style="40" customWidth="1"/>
    <col min="3327" max="3328" width="45.42578125" style="40" customWidth="1"/>
    <col min="3329" max="3329" width="8.5703125" style="40" customWidth="1"/>
    <col min="3330" max="3330" width="8.28515625" style="40" customWidth="1"/>
    <col min="3331" max="3331" width="8.5703125" style="40" customWidth="1"/>
    <col min="3332" max="3332" width="6.28515625" style="40" customWidth="1"/>
    <col min="3333" max="3333" width="41.140625" style="40" customWidth="1"/>
    <col min="3334" max="3334" width="9.28515625" style="40" customWidth="1"/>
    <col min="3335" max="3335" width="8.28515625" style="40" customWidth="1"/>
    <col min="3336" max="3337" width="9.140625" style="40" customWidth="1"/>
    <col min="3338" max="3581" width="9.140625" style="40"/>
    <col min="3582" max="3582" width="6.28515625" style="40" customWidth="1"/>
    <col min="3583" max="3584" width="45.42578125" style="40" customWidth="1"/>
    <col min="3585" max="3585" width="8.5703125" style="40" customWidth="1"/>
    <col min="3586" max="3586" width="8.28515625" style="40" customWidth="1"/>
    <col min="3587" max="3587" width="8.5703125" style="40" customWidth="1"/>
    <col min="3588" max="3588" width="6.28515625" style="40" customWidth="1"/>
    <col min="3589" max="3589" width="41.140625" style="40" customWidth="1"/>
    <col min="3590" max="3590" width="9.28515625" style="40" customWidth="1"/>
    <col min="3591" max="3591" width="8.28515625" style="40" customWidth="1"/>
    <col min="3592" max="3593" width="9.140625" style="40" customWidth="1"/>
    <col min="3594" max="3837" width="9.140625" style="40"/>
    <col min="3838" max="3838" width="6.28515625" style="40" customWidth="1"/>
    <col min="3839" max="3840" width="45.42578125" style="40" customWidth="1"/>
    <col min="3841" max="3841" width="8.5703125" style="40" customWidth="1"/>
    <col min="3842" max="3842" width="8.28515625" style="40" customWidth="1"/>
    <col min="3843" max="3843" width="8.5703125" style="40" customWidth="1"/>
    <col min="3844" max="3844" width="6.28515625" style="40" customWidth="1"/>
    <col min="3845" max="3845" width="41.140625" style="40" customWidth="1"/>
    <col min="3846" max="3846" width="9.28515625" style="40" customWidth="1"/>
    <col min="3847" max="3847" width="8.28515625" style="40" customWidth="1"/>
    <col min="3848" max="3849" width="9.140625" style="40" customWidth="1"/>
    <col min="3850" max="4093" width="9.140625" style="40"/>
    <col min="4094" max="4094" width="6.28515625" style="40" customWidth="1"/>
    <col min="4095" max="4096" width="45.42578125" style="40" customWidth="1"/>
    <col min="4097" max="4097" width="8.5703125" style="40" customWidth="1"/>
    <col min="4098" max="4098" width="8.28515625" style="40" customWidth="1"/>
    <col min="4099" max="4099" width="8.5703125" style="40" customWidth="1"/>
    <col min="4100" max="4100" width="6.28515625" style="40" customWidth="1"/>
    <col min="4101" max="4101" width="41.140625" style="40" customWidth="1"/>
    <col min="4102" max="4102" width="9.28515625" style="40" customWidth="1"/>
    <col min="4103" max="4103" width="8.28515625" style="40" customWidth="1"/>
    <col min="4104" max="4105" width="9.140625" style="40" customWidth="1"/>
    <col min="4106" max="4349" width="9.140625" style="40"/>
    <col min="4350" max="4350" width="6.28515625" style="40" customWidth="1"/>
    <col min="4351" max="4352" width="45.42578125" style="40" customWidth="1"/>
    <col min="4353" max="4353" width="8.5703125" style="40" customWidth="1"/>
    <col min="4354" max="4354" width="8.28515625" style="40" customWidth="1"/>
    <col min="4355" max="4355" width="8.5703125" style="40" customWidth="1"/>
    <col min="4356" max="4356" width="6.28515625" style="40" customWidth="1"/>
    <col min="4357" max="4357" width="41.140625" style="40" customWidth="1"/>
    <col min="4358" max="4358" width="9.28515625" style="40" customWidth="1"/>
    <col min="4359" max="4359" width="8.28515625" style="40" customWidth="1"/>
    <col min="4360" max="4361" width="9.140625" style="40" customWidth="1"/>
    <col min="4362" max="4605" width="9.140625" style="40"/>
    <col min="4606" max="4606" width="6.28515625" style="40" customWidth="1"/>
    <col min="4607" max="4608" width="45.42578125" style="40" customWidth="1"/>
    <col min="4609" max="4609" width="8.5703125" style="40" customWidth="1"/>
    <col min="4610" max="4610" width="8.28515625" style="40" customWidth="1"/>
    <col min="4611" max="4611" width="8.5703125" style="40" customWidth="1"/>
    <col min="4612" max="4612" width="6.28515625" style="40" customWidth="1"/>
    <col min="4613" max="4613" width="41.140625" style="40" customWidth="1"/>
    <col min="4614" max="4614" width="9.28515625" style="40" customWidth="1"/>
    <col min="4615" max="4615" width="8.28515625" style="40" customWidth="1"/>
    <col min="4616" max="4617" width="9.140625" style="40" customWidth="1"/>
    <col min="4618" max="4861" width="9.140625" style="40"/>
    <col min="4862" max="4862" width="6.28515625" style="40" customWidth="1"/>
    <col min="4863" max="4864" width="45.42578125" style="40" customWidth="1"/>
    <col min="4865" max="4865" width="8.5703125" style="40" customWidth="1"/>
    <col min="4866" max="4866" width="8.28515625" style="40" customWidth="1"/>
    <col min="4867" max="4867" width="8.5703125" style="40" customWidth="1"/>
    <col min="4868" max="4868" width="6.28515625" style="40" customWidth="1"/>
    <col min="4869" max="4869" width="41.140625" style="40" customWidth="1"/>
    <col min="4870" max="4870" width="9.28515625" style="40" customWidth="1"/>
    <col min="4871" max="4871" width="8.28515625" style="40" customWidth="1"/>
    <col min="4872" max="4873" width="9.140625" style="40" customWidth="1"/>
    <col min="4874" max="5117" width="9.140625" style="40"/>
    <col min="5118" max="5118" width="6.28515625" style="40" customWidth="1"/>
    <col min="5119" max="5120" width="45.42578125" style="40" customWidth="1"/>
    <col min="5121" max="5121" width="8.5703125" style="40" customWidth="1"/>
    <col min="5122" max="5122" width="8.28515625" style="40" customWidth="1"/>
    <col min="5123" max="5123" width="8.5703125" style="40" customWidth="1"/>
    <col min="5124" max="5124" width="6.28515625" style="40" customWidth="1"/>
    <col min="5125" max="5125" width="41.140625" style="40" customWidth="1"/>
    <col min="5126" max="5126" width="9.28515625" style="40" customWidth="1"/>
    <col min="5127" max="5127" width="8.28515625" style="40" customWidth="1"/>
    <col min="5128" max="5129" width="9.140625" style="40" customWidth="1"/>
    <col min="5130" max="5373" width="9.140625" style="40"/>
    <col min="5374" max="5374" width="6.28515625" style="40" customWidth="1"/>
    <col min="5375" max="5376" width="45.42578125" style="40" customWidth="1"/>
    <col min="5377" max="5377" width="8.5703125" style="40" customWidth="1"/>
    <col min="5378" max="5378" width="8.28515625" style="40" customWidth="1"/>
    <col min="5379" max="5379" width="8.5703125" style="40" customWidth="1"/>
    <col min="5380" max="5380" width="6.28515625" style="40" customWidth="1"/>
    <col min="5381" max="5381" width="41.140625" style="40" customWidth="1"/>
    <col min="5382" max="5382" width="9.28515625" style="40" customWidth="1"/>
    <col min="5383" max="5383" width="8.28515625" style="40" customWidth="1"/>
    <col min="5384" max="5385" width="9.140625" style="40" customWidth="1"/>
    <col min="5386" max="5629" width="9.140625" style="40"/>
    <col min="5630" max="5630" width="6.28515625" style="40" customWidth="1"/>
    <col min="5631" max="5632" width="45.42578125" style="40" customWidth="1"/>
    <col min="5633" max="5633" width="8.5703125" style="40" customWidth="1"/>
    <col min="5634" max="5634" width="8.28515625" style="40" customWidth="1"/>
    <col min="5635" max="5635" width="8.5703125" style="40" customWidth="1"/>
    <col min="5636" max="5636" width="6.28515625" style="40" customWidth="1"/>
    <col min="5637" max="5637" width="41.140625" style="40" customWidth="1"/>
    <col min="5638" max="5638" width="9.28515625" style="40" customWidth="1"/>
    <col min="5639" max="5639" width="8.28515625" style="40" customWidth="1"/>
    <col min="5640" max="5641" width="9.140625" style="40" customWidth="1"/>
    <col min="5642" max="5885" width="9.140625" style="40"/>
    <col min="5886" max="5886" width="6.28515625" style="40" customWidth="1"/>
    <col min="5887" max="5888" width="45.42578125" style="40" customWidth="1"/>
    <col min="5889" max="5889" width="8.5703125" style="40" customWidth="1"/>
    <col min="5890" max="5890" width="8.28515625" style="40" customWidth="1"/>
    <col min="5891" max="5891" width="8.5703125" style="40" customWidth="1"/>
    <col min="5892" max="5892" width="6.28515625" style="40" customWidth="1"/>
    <col min="5893" max="5893" width="41.140625" style="40" customWidth="1"/>
    <col min="5894" max="5894" width="9.28515625" style="40" customWidth="1"/>
    <col min="5895" max="5895" width="8.28515625" style="40" customWidth="1"/>
    <col min="5896" max="5897" width="9.140625" style="40" customWidth="1"/>
    <col min="5898" max="6141" width="9.140625" style="40"/>
    <col min="6142" max="6142" width="6.28515625" style="40" customWidth="1"/>
    <col min="6143" max="6144" width="45.42578125" style="40" customWidth="1"/>
    <col min="6145" max="6145" width="8.5703125" style="40" customWidth="1"/>
    <col min="6146" max="6146" width="8.28515625" style="40" customWidth="1"/>
    <col min="6147" max="6147" width="8.5703125" style="40" customWidth="1"/>
    <col min="6148" max="6148" width="6.28515625" style="40" customWidth="1"/>
    <col min="6149" max="6149" width="41.140625" style="40" customWidth="1"/>
    <col min="6150" max="6150" width="9.28515625" style="40" customWidth="1"/>
    <col min="6151" max="6151" width="8.28515625" style="40" customWidth="1"/>
    <col min="6152" max="6153" width="9.140625" style="40" customWidth="1"/>
    <col min="6154" max="6397" width="9.140625" style="40"/>
    <col min="6398" max="6398" width="6.28515625" style="40" customWidth="1"/>
    <col min="6399" max="6400" width="45.42578125" style="40" customWidth="1"/>
    <col min="6401" max="6401" width="8.5703125" style="40" customWidth="1"/>
    <col min="6402" max="6402" width="8.28515625" style="40" customWidth="1"/>
    <col min="6403" max="6403" width="8.5703125" style="40" customWidth="1"/>
    <col min="6404" max="6404" width="6.28515625" style="40" customWidth="1"/>
    <col min="6405" max="6405" width="41.140625" style="40" customWidth="1"/>
    <col min="6406" max="6406" width="9.28515625" style="40" customWidth="1"/>
    <col min="6407" max="6407" width="8.28515625" style="40" customWidth="1"/>
    <col min="6408" max="6409" width="9.140625" style="40" customWidth="1"/>
    <col min="6410" max="6653" width="9.140625" style="40"/>
    <col min="6654" max="6654" width="6.28515625" style="40" customWidth="1"/>
    <col min="6655" max="6656" width="45.42578125" style="40" customWidth="1"/>
    <col min="6657" max="6657" width="8.5703125" style="40" customWidth="1"/>
    <col min="6658" max="6658" width="8.28515625" style="40" customWidth="1"/>
    <col min="6659" max="6659" width="8.5703125" style="40" customWidth="1"/>
    <col min="6660" max="6660" width="6.28515625" style="40" customWidth="1"/>
    <col min="6661" max="6661" width="41.140625" style="40" customWidth="1"/>
    <col min="6662" max="6662" width="9.28515625" style="40" customWidth="1"/>
    <col min="6663" max="6663" width="8.28515625" style="40" customWidth="1"/>
    <col min="6664" max="6665" width="9.140625" style="40" customWidth="1"/>
    <col min="6666" max="6909" width="9.140625" style="40"/>
    <col min="6910" max="6910" width="6.28515625" style="40" customWidth="1"/>
    <col min="6911" max="6912" width="45.42578125" style="40" customWidth="1"/>
    <col min="6913" max="6913" width="8.5703125" style="40" customWidth="1"/>
    <col min="6914" max="6914" width="8.28515625" style="40" customWidth="1"/>
    <col min="6915" max="6915" width="8.5703125" style="40" customWidth="1"/>
    <col min="6916" max="6916" width="6.28515625" style="40" customWidth="1"/>
    <col min="6917" max="6917" width="41.140625" style="40" customWidth="1"/>
    <col min="6918" max="6918" width="9.28515625" style="40" customWidth="1"/>
    <col min="6919" max="6919" width="8.28515625" style="40" customWidth="1"/>
    <col min="6920" max="6921" width="9.140625" style="40" customWidth="1"/>
    <col min="6922" max="7165" width="9.140625" style="40"/>
    <col min="7166" max="7166" width="6.28515625" style="40" customWidth="1"/>
    <col min="7167" max="7168" width="45.42578125" style="40" customWidth="1"/>
    <col min="7169" max="7169" width="8.5703125" style="40" customWidth="1"/>
    <col min="7170" max="7170" width="8.28515625" style="40" customWidth="1"/>
    <col min="7171" max="7171" width="8.5703125" style="40" customWidth="1"/>
    <col min="7172" max="7172" width="6.28515625" style="40" customWidth="1"/>
    <col min="7173" max="7173" width="41.140625" style="40" customWidth="1"/>
    <col min="7174" max="7174" width="9.28515625" style="40" customWidth="1"/>
    <col min="7175" max="7175" width="8.28515625" style="40" customWidth="1"/>
    <col min="7176" max="7177" width="9.140625" style="40" customWidth="1"/>
    <col min="7178" max="7421" width="9.140625" style="40"/>
    <col min="7422" max="7422" width="6.28515625" style="40" customWidth="1"/>
    <col min="7423" max="7424" width="45.42578125" style="40" customWidth="1"/>
    <col min="7425" max="7425" width="8.5703125" style="40" customWidth="1"/>
    <col min="7426" max="7426" width="8.28515625" style="40" customWidth="1"/>
    <col min="7427" max="7427" width="8.5703125" style="40" customWidth="1"/>
    <col min="7428" max="7428" width="6.28515625" style="40" customWidth="1"/>
    <col min="7429" max="7429" width="41.140625" style="40" customWidth="1"/>
    <col min="7430" max="7430" width="9.28515625" style="40" customWidth="1"/>
    <col min="7431" max="7431" width="8.28515625" style="40" customWidth="1"/>
    <col min="7432" max="7433" width="9.140625" style="40" customWidth="1"/>
    <col min="7434" max="7677" width="9.140625" style="40"/>
    <col min="7678" max="7678" width="6.28515625" style="40" customWidth="1"/>
    <col min="7679" max="7680" width="45.42578125" style="40" customWidth="1"/>
    <col min="7681" max="7681" width="8.5703125" style="40" customWidth="1"/>
    <col min="7682" max="7682" width="8.28515625" style="40" customWidth="1"/>
    <col min="7683" max="7683" width="8.5703125" style="40" customWidth="1"/>
    <col min="7684" max="7684" width="6.28515625" style="40" customWidth="1"/>
    <col min="7685" max="7685" width="41.140625" style="40" customWidth="1"/>
    <col min="7686" max="7686" width="9.28515625" style="40" customWidth="1"/>
    <col min="7687" max="7687" width="8.28515625" style="40" customWidth="1"/>
    <col min="7688" max="7689" width="9.140625" style="40" customWidth="1"/>
    <col min="7690" max="7933" width="9.140625" style="40"/>
    <col min="7934" max="7934" width="6.28515625" style="40" customWidth="1"/>
    <col min="7935" max="7936" width="45.42578125" style="40" customWidth="1"/>
    <col min="7937" max="7937" width="8.5703125" style="40" customWidth="1"/>
    <col min="7938" max="7938" width="8.28515625" style="40" customWidth="1"/>
    <col min="7939" max="7939" width="8.5703125" style="40" customWidth="1"/>
    <col min="7940" max="7940" width="6.28515625" style="40" customWidth="1"/>
    <col min="7941" max="7941" width="41.140625" style="40" customWidth="1"/>
    <col min="7942" max="7942" width="9.28515625" style="40" customWidth="1"/>
    <col min="7943" max="7943" width="8.28515625" style="40" customWidth="1"/>
    <col min="7944" max="7945" width="9.140625" style="40" customWidth="1"/>
    <col min="7946" max="8189" width="9.140625" style="40"/>
    <col min="8190" max="8190" width="6.28515625" style="40" customWidth="1"/>
    <col min="8191" max="8192" width="45.42578125" style="40" customWidth="1"/>
    <col min="8193" max="8193" width="8.5703125" style="40" customWidth="1"/>
    <col min="8194" max="8194" width="8.28515625" style="40" customWidth="1"/>
    <col min="8195" max="8195" width="8.5703125" style="40" customWidth="1"/>
    <col min="8196" max="8196" width="6.28515625" style="40" customWidth="1"/>
    <col min="8197" max="8197" width="41.140625" style="40" customWidth="1"/>
    <col min="8198" max="8198" width="9.28515625" style="40" customWidth="1"/>
    <col min="8199" max="8199" width="8.28515625" style="40" customWidth="1"/>
    <col min="8200" max="8201" width="9.140625" style="40" customWidth="1"/>
    <col min="8202" max="8445" width="9.140625" style="40"/>
    <col min="8446" max="8446" width="6.28515625" style="40" customWidth="1"/>
    <col min="8447" max="8448" width="45.42578125" style="40" customWidth="1"/>
    <col min="8449" max="8449" width="8.5703125" style="40" customWidth="1"/>
    <col min="8450" max="8450" width="8.28515625" style="40" customWidth="1"/>
    <col min="8451" max="8451" width="8.5703125" style="40" customWidth="1"/>
    <col min="8452" max="8452" width="6.28515625" style="40" customWidth="1"/>
    <col min="8453" max="8453" width="41.140625" style="40" customWidth="1"/>
    <col min="8454" max="8454" width="9.28515625" style="40" customWidth="1"/>
    <col min="8455" max="8455" width="8.28515625" style="40" customWidth="1"/>
    <col min="8456" max="8457" width="9.140625" style="40" customWidth="1"/>
    <col min="8458" max="8701" width="9.140625" style="40"/>
    <col min="8702" max="8702" width="6.28515625" style="40" customWidth="1"/>
    <col min="8703" max="8704" width="45.42578125" style="40" customWidth="1"/>
    <col min="8705" max="8705" width="8.5703125" style="40" customWidth="1"/>
    <col min="8706" max="8706" width="8.28515625" style="40" customWidth="1"/>
    <col min="8707" max="8707" width="8.5703125" style="40" customWidth="1"/>
    <col min="8708" max="8708" width="6.28515625" style="40" customWidth="1"/>
    <col min="8709" max="8709" width="41.140625" style="40" customWidth="1"/>
    <col min="8710" max="8710" width="9.28515625" style="40" customWidth="1"/>
    <col min="8711" max="8711" width="8.28515625" style="40" customWidth="1"/>
    <col min="8712" max="8713" width="9.140625" style="40" customWidth="1"/>
    <col min="8714" max="8957" width="9.140625" style="40"/>
    <col min="8958" max="8958" width="6.28515625" style="40" customWidth="1"/>
    <col min="8959" max="8960" width="45.42578125" style="40" customWidth="1"/>
    <col min="8961" max="8961" width="8.5703125" style="40" customWidth="1"/>
    <col min="8962" max="8962" width="8.28515625" style="40" customWidth="1"/>
    <col min="8963" max="8963" width="8.5703125" style="40" customWidth="1"/>
    <col min="8964" max="8964" width="6.28515625" style="40" customWidth="1"/>
    <col min="8965" max="8965" width="41.140625" style="40" customWidth="1"/>
    <col min="8966" max="8966" width="9.28515625" style="40" customWidth="1"/>
    <col min="8967" max="8967" width="8.28515625" style="40" customWidth="1"/>
    <col min="8968" max="8969" width="9.140625" style="40" customWidth="1"/>
    <col min="8970" max="9213" width="9.140625" style="40"/>
    <col min="9214" max="9214" width="6.28515625" style="40" customWidth="1"/>
    <col min="9215" max="9216" width="45.42578125" style="40" customWidth="1"/>
    <col min="9217" max="9217" width="8.5703125" style="40" customWidth="1"/>
    <col min="9218" max="9218" width="8.28515625" style="40" customWidth="1"/>
    <col min="9219" max="9219" width="8.5703125" style="40" customWidth="1"/>
    <col min="9220" max="9220" width="6.28515625" style="40" customWidth="1"/>
    <col min="9221" max="9221" width="41.140625" style="40" customWidth="1"/>
    <col min="9222" max="9222" width="9.28515625" style="40" customWidth="1"/>
    <col min="9223" max="9223" width="8.28515625" style="40" customWidth="1"/>
    <col min="9224" max="9225" width="9.140625" style="40" customWidth="1"/>
    <col min="9226" max="9469" width="9.140625" style="40"/>
    <col min="9470" max="9470" width="6.28515625" style="40" customWidth="1"/>
    <col min="9471" max="9472" width="45.42578125" style="40" customWidth="1"/>
    <col min="9473" max="9473" width="8.5703125" style="40" customWidth="1"/>
    <col min="9474" max="9474" width="8.28515625" style="40" customWidth="1"/>
    <col min="9475" max="9475" width="8.5703125" style="40" customWidth="1"/>
    <col min="9476" max="9476" width="6.28515625" style="40" customWidth="1"/>
    <col min="9477" max="9477" width="41.140625" style="40" customWidth="1"/>
    <col min="9478" max="9478" width="9.28515625" style="40" customWidth="1"/>
    <col min="9479" max="9479" width="8.28515625" style="40" customWidth="1"/>
    <col min="9480" max="9481" width="9.140625" style="40" customWidth="1"/>
    <col min="9482" max="9725" width="9.140625" style="40"/>
    <col min="9726" max="9726" width="6.28515625" style="40" customWidth="1"/>
    <col min="9727" max="9728" width="45.42578125" style="40" customWidth="1"/>
    <col min="9729" max="9729" width="8.5703125" style="40" customWidth="1"/>
    <col min="9730" max="9730" width="8.28515625" style="40" customWidth="1"/>
    <col min="9731" max="9731" width="8.5703125" style="40" customWidth="1"/>
    <col min="9732" max="9732" width="6.28515625" style="40" customWidth="1"/>
    <col min="9733" max="9733" width="41.140625" style="40" customWidth="1"/>
    <col min="9734" max="9734" width="9.28515625" style="40" customWidth="1"/>
    <col min="9735" max="9735" width="8.28515625" style="40" customWidth="1"/>
    <col min="9736" max="9737" width="9.140625" style="40" customWidth="1"/>
    <col min="9738" max="9981" width="9.140625" style="40"/>
    <col min="9982" max="9982" width="6.28515625" style="40" customWidth="1"/>
    <col min="9983" max="9984" width="45.42578125" style="40" customWidth="1"/>
    <col min="9985" max="9985" width="8.5703125" style="40" customWidth="1"/>
    <col min="9986" max="9986" width="8.28515625" style="40" customWidth="1"/>
    <col min="9987" max="9987" width="8.5703125" style="40" customWidth="1"/>
    <col min="9988" max="9988" width="6.28515625" style="40" customWidth="1"/>
    <col min="9989" max="9989" width="41.140625" style="40" customWidth="1"/>
    <col min="9990" max="9990" width="9.28515625" style="40" customWidth="1"/>
    <col min="9991" max="9991" width="8.28515625" style="40" customWidth="1"/>
    <col min="9992" max="9993" width="9.140625" style="40" customWidth="1"/>
    <col min="9994" max="10237" width="9.140625" style="40"/>
    <col min="10238" max="10238" width="6.28515625" style="40" customWidth="1"/>
    <col min="10239" max="10240" width="45.42578125" style="40" customWidth="1"/>
    <col min="10241" max="10241" width="8.5703125" style="40" customWidth="1"/>
    <col min="10242" max="10242" width="8.28515625" style="40" customWidth="1"/>
    <col min="10243" max="10243" width="8.5703125" style="40" customWidth="1"/>
    <col min="10244" max="10244" width="6.28515625" style="40" customWidth="1"/>
    <col min="10245" max="10245" width="41.140625" style="40" customWidth="1"/>
    <col min="10246" max="10246" width="9.28515625" style="40" customWidth="1"/>
    <col min="10247" max="10247" width="8.28515625" style="40" customWidth="1"/>
    <col min="10248" max="10249" width="9.140625" style="40" customWidth="1"/>
    <col min="10250" max="10493" width="9.140625" style="40"/>
    <col min="10494" max="10494" width="6.28515625" style="40" customWidth="1"/>
    <col min="10495" max="10496" width="45.42578125" style="40" customWidth="1"/>
    <col min="10497" max="10497" width="8.5703125" style="40" customWidth="1"/>
    <col min="10498" max="10498" width="8.28515625" style="40" customWidth="1"/>
    <col min="10499" max="10499" width="8.5703125" style="40" customWidth="1"/>
    <col min="10500" max="10500" width="6.28515625" style="40" customWidth="1"/>
    <col min="10501" max="10501" width="41.140625" style="40" customWidth="1"/>
    <col min="10502" max="10502" width="9.28515625" style="40" customWidth="1"/>
    <col min="10503" max="10503" width="8.28515625" style="40" customWidth="1"/>
    <col min="10504" max="10505" width="9.140625" style="40" customWidth="1"/>
    <col min="10506" max="10749" width="9.140625" style="40"/>
    <col min="10750" max="10750" width="6.28515625" style="40" customWidth="1"/>
    <col min="10751" max="10752" width="45.42578125" style="40" customWidth="1"/>
    <col min="10753" max="10753" width="8.5703125" style="40" customWidth="1"/>
    <col min="10754" max="10754" width="8.28515625" style="40" customWidth="1"/>
    <col min="10755" max="10755" width="8.5703125" style="40" customWidth="1"/>
    <col min="10756" max="10756" width="6.28515625" style="40" customWidth="1"/>
    <col min="10757" max="10757" width="41.140625" style="40" customWidth="1"/>
    <col min="10758" max="10758" width="9.28515625" style="40" customWidth="1"/>
    <col min="10759" max="10759" width="8.28515625" style="40" customWidth="1"/>
    <col min="10760" max="10761" width="9.140625" style="40" customWidth="1"/>
    <col min="10762" max="11005" width="9.140625" style="40"/>
    <col min="11006" max="11006" width="6.28515625" style="40" customWidth="1"/>
    <col min="11007" max="11008" width="45.42578125" style="40" customWidth="1"/>
    <col min="11009" max="11009" width="8.5703125" style="40" customWidth="1"/>
    <col min="11010" max="11010" width="8.28515625" style="40" customWidth="1"/>
    <col min="11011" max="11011" width="8.5703125" style="40" customWidth="1"/>
    <col min="11012" max="11012" width="6.28515625" style="40" customWidth="1"/>
    <col min="11013" max="11013" width="41.140625" style="40" customWidth="1"/>
    <col min="11014" max="11014" width="9.28515625" style="40" customWidth="1"/>
    <col min="11015" max="11015" width="8.28515625" style="40" customWidth="1"/>
    <col min="11016" max="11017" width="9.140625" style="40" customWidth="1"/>
    <col min="11018" max="11261" width="9.140625" style="40"/>
    <col min="11262" max="11262" width="6.28515625" style="40" customWidth="1"/>
    <col min="11263" max="11264" width="45.42578125" style="40" customWidth="1"/>
    <col min="11265" max="11265" width="8.5703125" style="40" customWidth="1"/>
    <col min="11266" max="11266" width="8.28515625" style="40" customWidth="1"/>
    <col min="11267" max="11267" width="8.5703125" style="40" customWidth="1"/>
    <col min="11268" max="11268" width="6.28515625" style="40" customWidth="1"/>
    <col min="11269" max="11269" width="41.140625" style="40" customWidth="1"/>
    <col min="11270" max="11270" width="9.28515625" style="40" customWidth="1"/>
    <col min="11271" max="11271" width="8.28515625" style="40" customWidth="1"/>
    <col min="11272" max="11273" width="9.140625" style="40" customWidth="1"/>
    <col min="11274" max="11517" width="9.140625" style="40"/>
    <col min="11518" max="11518" width="6.28515625" style="40" customWidth="1"/>
    <col min="11519" max="11520" width="45.42578125" style="40" customWidth="1"/>
    <col min="11521" max="11521" width="8.5703125" style="40" customWidth="1"/>
    <col min="11522" max="11522" width="8.28515625" style="40" customWidth="1"/>
    <col min="11523" max="11523" width="8.5703125" style="40" customWidth="1"/>
    <col min="11524" max="11524" width="6.28515625" style="40" customWidth="1"/>
    <col min="11525" max="11525" width="41.140625" style="40" customWidth="1"/>
    <col min="11526" max="11526" width="9.28515625" style="40" customWidth="1"/>
    <col min="11527" max="11527" width="8.28515625" style="40" customWidth="1"/>
    <col min="11528" max="11529" width="9.140625" style="40" customWidth="1"/>
    <col min="11530" max="11773" width="9.140625" style="40"/>
    <col min="11774" max="11774" width="6.28515625" style="40" customWidth="1"/>
    <col min="11775" max="11776" width="45.42578125" style="40" customWidth="1"/>
    <col min="11777" max="11777" width="8.5703125" style="40" customWidth="1"/>
    <col min="11778" max="11778" width="8.28515625" style="40" customWidth="1"/>
    <col min="11779" max="11779" width="8.5703125" style="40" customWidth="1"/>
    <col min="11780" max="11780" width="6.28515625" style="40" customWidth="1"/>
    <col min="11781" max="11781" width="41.140625" style="40" customWidth="1"/>
    <col min="11782" max="11782" width="9.28515625" style="40" customWidth="1"/>
    <col min="11783" max="11783" width="8.28515625" style="40" customWidth="1"/>
    <col min="11784" max="11785" width="9.140625" style="40" customWidth="1"/>
    <col min="11786" max="12029" width="9.140625" style="40"/>
    <col min="12030" max="12030" width="6.28515625" style="40" customWidth="1"/>
    <col min="12031" max="12032" width="45.42578125" style="40" customWidth="1"/>
    <col min="12033" max="12033" width="8.5703125" style="40" customWidth="1"/>
    <col min="12034" max="12034" width="8.28515625" style="40" customWidth="1"/>
    <col min="12035" max="12035" width="8.5703125" style="40" customWidth="1"/>
    <col min="12036" max="12036" width="6.28515625" style="40" customWidth="1"/>
    <col min="12037" max="12037" width="41.140625" style="40" customWidth="1"/>
    <col min="12038" max="12038" width="9.28515625" style="40" customWidth="1"/>
    <col min="12039" max="12039" width="8.28515625" style="40" customWidth="1"/>
    <col min="12040" max="12041" width="9.140625" style="40" customWidth="1"/>
    <col min="12042" max="12285" width="9.140625" style="40"/>
    <col min="12286" max="12286" width="6.28515625" style="40" customWidth="1"/>
    <col min="12287" max="12288" width="45.42578125" style="40" customWidth="1"/>
    <col min="12289" max="12289" width="8.5703125" style="40" customWidth="1"/>
    <col min="12290" max="12290" width="8.28515625" style="40" customWidth="1"/>
    <col min="12291" max="12291" width="8.5703125" style="40" customWidth="1"/>
    <col min="12292" max="12292" width="6.28515625" style="40" customWidth="1"/>
    <col min="12293" max="12293" width="41.140625" style="40" customWidth="1"/>
    <col min="12294" max="12294" width="9.28515625" style="40" customWidth="1"/>
    <col min="12295" max="12295" width="8.28515625" style="40" customWidth="1"/>
    <col min="12296" max="12297" width="9.140625" style="40" customWidth="1"/>
    <col min="12298" max="12541" width="9.140625" style="40"/>
    <col min="12542" max="12542" width="6.28515625" style="40" customWidth="1"/>
    <col min="12543" max="12544" width="45.42578125" style="40" customWidth="1"/>
    <col min="12545" max="12545" width="8.5703125" style="40" customWidth="1"/>
    <col min="12546" max="12546" width="8.28515625" style="40" customWidth="1"/>
    <col min="12547" max="12547" width="8.5703125" style="40" customWidth="1"/>
    <col min="12548" max="12548" width="6.28515625" style="40" customWidth="1"/>
    <col min="12549" max="12549" width="41.140625" style="40" customWidth="1"/>
    <col min="12550" max="12550" width="9.28515625" style="40" customWidth="1"/>
    <col min="12551" max="12551" width="8.28515625" style="40" customWidth="1"/>
    <col min="12552" max="12553" width="9.140625" style="40" customWidth="1"/>
    <col min="12554" max="12797" width="9.140625" style="40"/>
    <col min="12798" max="12798" width="6.28515625" style="40" customWidth="1"/>
    <col min="12799" max="12800" width="45.42578125" style="40" customWidth="1"/>
    <col min="12801" max="12801" width="8.5703125" style="40" customWidth="1"/>
    <col min="12802" max="12802" width="8.28515625" style="40" customWidth="1"/>
    <col min="12803" max="12803" width="8.5703125" style="40" customWidth="1"/>
    <col min="12804" max="12804" width="6.28515625" style="40" customWidth="1"/>
    <col min="12805" max="12805" width="41.140625" style="40" customWidth="1"/>
    <col min="12806" max="12806" width="9.28515625" style="40" customWidth="1"/>
    <col min="12807" max="12807" width="8.28515625" style="40" customWidth="1"/>
    <col min="12808" max="12809" width="9.140625" style="40" customWidth="1"/>
    <col min="12810" max="13053" width="9.140625" style="40"/>
    <col min="13054" max="13054" width="6.28515625" style="40" customWidth="1"/>
    <col min="13055" max="13056" width="45.42578125" style="40" customWidth="1"/>
    <col min="13057" max="13057" width="8.5703125" style="40" customWidth="1"/>
    <col min="13058" max="13058" width="8.28515625" style="40" customWidth="1"/>
    <col min="13059" max="13059" width="8.5703125" style="40" customWidth="1"/>
    <col min="13060" max="13060" width="6.28515625" style="40" customWidth="1"/>
    <col min="13061" max="13061" width="41.140625" style="40" customWidth="1"/>
    <col min="13062" max="13062" width="9.28515625" style="40" customWidth="1"/>
    <col min="13063" max="13063" width="8.28515625" style="40" customWidth="1"/>
    <col min="13064" max="13065" width="9.140625" style="40" customWidth="1"/>
    <col min="13066" max="13309" width="9.140625" style="40"/>
    <col min="13310" max="13310" width="6.28515625" style="40" customWidth="1"/>
    <col min="13311" max="13312" width="45.42578125" style="40" customWidth="1"/>
    <col min="13313" max="13313" width="8.5703125" style="40" customWidth="1"/>
    <col min="13314" max="13314" width="8.28515625" style="40" customWidth="1"/>
    <col min="13315" max="13315" width="8.5703125" style="40" customWidth="1"/>
    <col min="13316" max="13316" width="6.28515625" style="40" customWidth="1"/>
    <col min="13317" max="13317" width="41.140625" style="40" customWidth="1"/>
    <col min="13318" max="13318" width="9.28515625" style="40" customWidth="1"/>
    <col min="13319" max="13319" width="8.28515625" style="40" customWidth="1"/>
    <col min="13320" max="13321" width="9.140625" style="40" customWidth="1"/>
    <col min="13322" max="13565" width="9.140625" style="40"/>
    <col min="13566" max="13566" width="6.28515625" style="40" customWidth="1"/>
    <col min="13567" max="13568" width="45.42578125" style="40" customWidth="1"/>
    <col min="13569" max="13569" width="8.5703125" style="40" customWidth="1"/>
    <col min="13570" max="13570" width="8.28515625" style="40" customWidth="1"/>
    <col min="13571" max="13571" width="8.5703125" style="40" customWidth="1"/>
    <col min="13572" max="13572" width="6.28515625" style="40" customWidth="1"/>
    <col min="13573" max="13573" width="41.140625" style="40" customWidth="1"/>
    <col min="13574" max="13574" width="9.28515625" style="40" customWidth="1"/>
    <col min="13575" max="13575" width="8.28515625" style="40" customWidth="1"/>
    <col min="13576" max="13577" width="9.140625" style="40" customWidth="1"/>
    <col min="13578" max="13821" width="9.140625" style="40"/>
    <col min="13822" max="13822" width="6.28515625" style="40" customWidth="1"/>
    <col min="13823" max="13824" width="45.42578125" style="40" customWidth="1"/>
    <col min="13825" max="13825" width="8.5703125" style="40" customWidth="1"/>
    <col min="13826" max="13826" width="8.28515625" style="40" customWidth="1"/>
    <col min="13827" max="13827" width="8.5703125" style="40" customWidth="1"/>
    <col min="13828" max="13828" width="6.28515625" style="40" customWidth="1"/>
    <col min="13829" max="13829" width="41.140625" style="40" customWidth="1"/>
    <col min="13830" max="13830" width="9.28515625" style="40" customWidth="1"/>
    <col min="13831" max="13831" width="8.28515625" style="40" customWidth="1"/>
    <col min="13832" max="13833" width="9.140625" style="40" customWidth="1"/>
    <col min="13834" max="14077" width="9.140625" style="40"/>
    <col min="14078" max="14078" width="6.28515625" style="40" customWidth="1"/>
    <col min="14079" max="14080" width="45.42578125" style="40" customWidth="1"/>
    <col min="14081" max="14081" width="8.5703125" style="40" customWidth="1"/>
    <col min="14082" max="14082" width="8.28515625" style="40" customWidth="1"/>
    <col min="14083" max="14083" width="8.5703125" style="40" customWidth="1"/>
    <col min="14084" max="14084" width="6.28515625" style="40" customWidth="1"/>
    <col min="14085" max="14085" width="41.140625" style="40" customWidth="1"/>
    <col min="14086" max="14086" width="9.28515625" style="40" customWidth="1"/>
    <col min="14087" max="14087" width="8.28515625" style="40" customWidth="1"/>
    <col min="14088" max="14089" width="9.140625" style="40" customWidth="1"/>
    <col min="14090" max="14333" width="9.140625" style="40"/>
    <col min="14334" max="14334" width="6.28515625" style="40" customWidth="1"/>
    <col min="14335" max="14336" width="45.42578125" style="40" customWidth="1"/>
    <col min="14337" max="14337" width="8.5703125" style="40" customWidth="1"/>
    <col min="14338" max="14338" width="8.28515625" style="40" customWidth="1"/>
    <col min="14339" max="14339" width="8.5703125" style="40" customWidth="1"/>
    <col min="14340" max="14340" width="6.28515625" style="40" customWidth="1"/>
    <col min="14341" max="14341" width="41.140625" style="40" customWidth="1"/>
    <col min="14342" max="14342" width="9.28515625" style="40" customWidth="1"/>
    <col min="14343" max="14343" width="8.28515625" style="40" customWidth="1"/>
    <col min="14344" max="14345" width="9.140625" style="40" customWidth="1"/>
    <col min="14346" max="14589" width="9.140625" style="40"/>
    <col min="14590" max="14590" width="6.28515625" style="40" customWidth="1"/>
    <col min="14591" max="14592" width="45.42578125" style="40" customWidth="1"/>
    <col min="14593" max="14593" width="8.5703125" style="40" customWidth="1"/>
    <col min="14594" max="14594" width="8.28515625" style="40" customWidth="1"/>
    <col min="14595" max="14595" width="8.5703125" style="40" customWidth="1"/>
    <col min="14596" max="14596" width="6.28515625" style="40" customWidth="1"/>
    <col min="14597" max="14597" width="41.140625" style="40" customWidth="1"/>
    <col min="14598" max="14598" width="9.28515625" style="40" customWidth="1"/>
    <col min="14599" max="14599" width="8.28515625" style="40" customWidth="1"/>
    <col min="14600" max="14601" width="9.140625" style="40" customWidth="1"/>
    <col min="14602" max="14845" width="9.140625" style="40"/>
    <col min="14846" max="14846" width="6.28515625" style="40" customWidth="1"/>
    <col min="14847" max="14848" width="45.42578125" style="40" customWidth="1"/>
    <col min="14849" max="14849" width="8.5703125" style="40" customWidth="1"/>
    <col min="14850" max="14850" width="8.28515625" style="40" customWidth="1"/>
    <col min="14851" max="14851" width="8.5703125" style="40" customWidth="1"/>
    <col min="14852" max="14852" width="6.28515625" style="40" customWidth="1"/>
    <col min="14853" max="14853" width="41.140625" style="40" customWidth="1"/>
    <col min="14854" max="14854" width="9.28515625" style="40" customWidth="1"/>
    <col min="14855" max="14855" width="8.28515625" style="40" customWidth="1"/>
    <col min="14856" max="14857" width="9.140625" style="40" customWidth="1"/>
    <col min="14858" max="15101" width="9.140625" style="40"/>
    <col min="15102" max="15102" width="6.28515625" style="40" customWidth="1"/>
    <col min="15103" max="15104" width="45.42578125" style="40" customWidth="1"/>
    <col min="15105" max="15105" width="8.5703125" style="40" customWidth="1"/>
    <col min="15106" max="15106" width="8.28515625" style="40" customWidth="1"/>
    <col min="15107" max="15107" width="8.5703125" style="40" customWidth="1"/>
    <col min="15108" max="15108" width="6.28515625" style="40" customWidth="1"/>
    <col min="15109" max="15109" width="41.140625" style="40" customWidth="1"/>
    <col min="15110" max="15110" width="9.28515625" style="40" customWidth="1"/>
    <col min="15111" max="15111" width="8.28515625" style="40" customWidth="1"/>
    <col min="15112" max="15113" width="9.140625" style="40" customWidth="1"/>
    <col min="15114" max="15357" width="9.140625" style="40"/>
    <col min="15358" max="15358" width="6.28515625" style="40" customWidth="1"/>
    <col min="15359" max="15360" width="45.42578125" style="40" customWidth="1"/>
    <col min="15361" max="15361" width="8.5703125" style="40" customWidth="1"/>
    <col min="15362" max="15362" width="8.28515625" style="40" customWidth="1"/>
    <col min="15363" max="15363" width="8.5703125" style="40" customWidth="1"/>
    <col min="15364" max="15364" width="6.28515625" style="40" customWidth="1"/>
    <col min="15365" max="15365" width="41.140625" style="40" customWidth="1"/>
    <col min="15366" max="15366" width="9.28515625" style="40" customWidth="1"/>
    <col min="15367" max="15367" width="8.28515625" style="40" customWidth="1"/>
    <col min="15368" max="15369" width="9.140625" style="40" customWidth="1"/>
    <col min="15370" max="15613" width="9.140625" style="40"/>
    <col min="15614" max="15614" width="6.28515625" style="40" customWidth="1"/>
    <col min="15615" max="15616" width="45.42578125" style="40" customWidth="1"/>
    <col min="15617" max="15617" width="8.5703125" style="40" customWidth="1"/>
    <col min="15618" max="15618" width="8.28515625" style="40" customWidth="1"/>
    <col min="15619" max="15619" width="8.5703125" style="40" customWidth="1"/>
    <col min="15620" max="15620" width="6.28515625" style="40" customWidth="1"/>
    <col min="15621" max="15621" width="41.140625" style="40" customWidth="1"/>
    <col min="15622" max="15622" width="9.28515625" style="40" customWidth="1"/>
    <col min="15623" max="15623" width="8.28515625" style="40" customWidth="1"/>
    <col min="15624" max="15625" width="9.140625" style="40" customWidth="1"/>
    <col min="15626" max="15869" width="9.140625" style="40"/>
    <col min="15870" max="15870" width="6.28515625" style="40" customWidth="1"/>
    <col min="15871" max="15872" width="45.42578125" style="40" customWidth="1"/>
    <col min="15873" max="15873" width="8.5703125" style="40" customWidth="1"/>
    <col min="15874" max="15874" width="8.28515625" style="40" customWidth="1"/>
    <col min="15875" max="15875" width="8.5703125" style="40" customWidth="1"/>
    <col min="15876" max="15876" width="6.28515625" style="40" customWidth="1"/>
    <col min="15877" max="15877" width="41.140625" style="40" customWidth="1"/>
    <col min="15878" max="15878" width="9.28515625" style="40" customWidth="1"/>
    <col min="15879" max="15879" width="8.28515625" style="40" customWidth="1"/>
    <col min="15880" max="15881" width="9.140625" style="40" customWidth="1"/>
    <col min="15882" max="16125" width="9.140625" style="40"/>
    <col min="16126" max="16126" width="6.28515625" style="40" customWidth="1"/>
    <col min="16127" max="16128" width="45.42578125" style="40" customWidth="1"/>
    <col min="16129" max="16129" width="8.5703125" style="40" customWidth="1"/>
    <col min="16130" max="16130" width="8.28515625" style="40" customWidth="1"/>
    <col min="16131" max="16131" width="8.5703125" style="40" customWidth="1"/>
    <col min="16132" max="16132" width="6.28515625" style="40" customWidth="1"/>
    <col min="16133" max="16133" width="41.140625" style="40" customWidth="1"/>
    <col min="16134" max="16134" width="9.28515625" style="40" customWidth="1"/>
    <col min="16135" max="16135" width="8.28515625" style="40" customWidth="1"/>
    <col min="16136" max="16137" width="9.140625" style="40" customWidth="1"/>
    <col min="16138" max="16384" width="9.140625" style="40"/>
  </cols>
  <sheetData>
    <row r="1" spans="1:12" ht="24" customHeight="1" x14ac:dyDescent="0.25">
      <c r="A1" s="239" t="s">
        <v>252</v>
      </c>
      <c r="B1" s="239"/>
      <c r="C1" s="239"/>
      <c r="D1" s="239"/>
      <c r="E1" s="239"/>
      <c r="F1" s="239"/>
      <c r="G1" s="239" t="s">
        <v>1138</v>
      </c>
      <c r="H1" s="239"/>
      <c r="I1" s="239"/>
      <c r="J1" s="239"/>
      <c r="K1" s="239"/>
      <c r="L1" s="104"/>
    </row>
    <row r="2" spans="1:12" ht="24" customHeight="1" x14ac:dyDescent="0.25">
      <c r="A2" s="105"/>
      <c r="B2" s="105"/>
      <c r="C2" s="105"/>
      <c r="D2" s="240" t="s">
        <v>1119</v>
      </c>
      <c r="E2" s="240"/>
      <c r="F2" s="240"/>
      <c r="G2" s="105"/>
      <c r="H2" s="242" t="s">
        <v>763</v>
      </c>
      <c r="I2" s="242"/>
      <c r="J2" s="242"/>
      <c r="K2" s="242"/>
      <c r="L2" s="104"/>
    </row>
    <row r="3" spans="1:12" ht="24" customHeight="1" x14ac:dyDescent="0.25">
      <c r="A3" s="105"/>
      <c r="B3" s="105"/>
      <c r="C3" s="105"/>
      <c r="D3" s="106"/>
      <c r="E3" s="106"/>
      <c r="F3" s="106"/>
      <c r="G3" s="241" t="s">
        <v>0</v>
      </c>
      <c r="H3" s="241" t="s">
        <v>1</v>
      </c>
      <c r="I3" s="241" t="s">
        <v>942</v>
      </c>
      <c r="J3" s="241"/>
      <c r="K3" s="241"/>
      <c r="L3" s="104"/>
    </row>
    <row r="4" spans="1:12" ht="25.5" customHeight="1" x14ac:dyDescent="0.25">
      <c r="A4" s="108"/>
      <c r="B4" s="108"/>
      <c r="C4" s="108"/>
      <c r="D4" s="107" t="s">
        <v>4</v>
      </c>
      <c r="E4" s="107" t="s">
        <v>3</v>
      </c>
      <c r="F4" s="109" t="s">
        <v>5</v>
      </c>
      <c r="G4" s="241"/>
      <c r="H4" s="241"/>
      <c r="I4" s="107" t="s">
        <v>4</v>
      </c>
      <c r="J4" s="107" t="s">
        <v>3</v>
      </c>
      <c r="K4" s="107" t="s">
        <v>5</v>
      </c>
      <c r="L4" s="104"/>
    </row>
    <row r="5" spans="1:12" ht="44.25" hidden="1" customHeight="1" x14ac:dyDescent="0.25">
      <c r="A5" s="107"/>
      <c r="B5" s="110" t="s">
        <v>253</v>
      </c>
      <c r="C5" s="110" t="s">
        <v>254</v>
      </c>
      <c r="D5" s="110"/>
      <c r="E5" s="110"/>
      <c r="F5" s="110"/>
      <c r="G5" s="107"/>
      <c r="H5" s="107"/>
      <c r="I5" s="107"/>
      <c r="J5" s="107"/>
      <c r="K5" s="107"/>
      <c r="L5" s="104"/>
    </row>
    <row r="6" spans="1:12" ht="21" customHeight="1" x14ac:dyDescent="0.25">
      <c r="A6" s="107" t="s">
        <v>7</v>
      </c>
      <c r="B6" s="111" t="s">
        <v>255</v>
      </c>
      <c r="C6" s="111" t="s">
        <v>255</v>
      </c>
      <c r="D6" s="74"/>
      <c r="E6" s="112"/>
      <c r="F6" s="112"/>
      <c r="G6" s="107" t="s">
        <v>7</v>
      </c>
      <c r="H6" s="111" t="s">
        <v>255</v>
      </c>
      <c r="I6" s="74"/>
      <c r="J6" s="112"/>
      <c r="K6" s="112"/>
      <c r="L6" s="104"/>
    </row>
    <row r="7" spans="1:12" ht="60.75" customHeight="1" x14ac:dyDescent="0.25">
      <c r="A7" s="112">
        <v>1</v>
      </c>
      <c r="B7" s="113" t="s">
        <v>256</v>
      </c>
      <c r="C7" s="113" t="s">
        <v>59</v>
      </c>
      <c r="D7" s="42">
        <v>380</v>
      </c>
      <c r="E7" s="114">
        <v>250</v>
      </c>
      <c r="F7" s="114">
        <v>160</v>
      </c>
      <c r="G7" s="112">
        <v>1</v>
      </c>
      <c r="H7" s="113" t="s">
        <v>256</v>
      </c>
      <c r="I7" s="42">
        <f>418*0.7</f>
        <v>292.59999999999997</v>
      </c>
      <c r="J7" s="42">
        <f>275*0.7</f>
        <v>192.5</v>
      </c>
      <c r="K7" s="42">
        <f>176*0.7</f>
        <v>123.19999999999999</v>
      </c>
      <c r="L7" s="104"/>
    </row>
    <row r="8" spans="1:12" ht="39.75" customHeight="1" x14ac:dyDescent="0.25">
      <c r="A8" s="112">
        <v>2</v>
      </c>
      <c r="B8" s="113" t="s">
        <v>257</v>
      </c>
      <c r="C8" s="113" t="s">
        <v>258</v>
      </c>
      <c r="D8" s="42">
        <v>530</v>
      </c>
      <c r="E8" s="114">
        <v>300</v>
      </c>
      <c r="F8" s="114">
        <v>150</v>
      </c>
      <c r="G8" s="112">
        <v>2</v>
      </c>
      <c r="H8" s="113" t="s">
        <v>259</v>
      </c>
      <c r="I8" s="42">
        <f>583*0.7</f>
        <v>408.09999999999997</v>
      </c>
      <c r="J8" s="42">
        <f>330*0.7</f>
        <v>230.99999999999997</v>
      </c>
      <c r="K8" s="42">
        <f>165*0.7</f>
        <v>115.49999999999999</v>
      </c>
      <c r="L8" s="104"/>
    </row>
    <row r="9" spans="1:12" ht="72.75" customHeight="1" x14ac:dyDescent="0.25">
      <c r="A9" s="112">
        <v>3</v>
      </c>
      <c r="B9" s="115" t="s">
        <v>260</v>
      </c>
      <c r="C9" s="115"/>
      <c r="D9" s="42">
        <v>850</v>
      </c>
      <c r="E9" s="114">
        <v>450</v>
      </c>
      <c r="F9" s="114">
        <v>200</v>
      </c>
      <c r="G9" s="112">
        <v>3</v>
      </c>
      <c r="H9" s="115" t="s">
        <v>260</v>
      </c>
      <c r="I9" s="42">
        <f>935*0.7</f>
        <v>654.5</v>
      </c>
      <c r="J9" s="42">
        <f>495*0.7</f>
        <v>346.5</v>
      </c>
      <c r="K9" s="42">
        <f>220*0.7</f>
        <v>154</v>
      </c>
      <c r="L9" s="104"/>
    </row>
    <row r="10" spans="1:12" ht="36.75" customHeight="1" x14ac:dyDescent="0.25">
      <c r="A10" s="116">
        <v>4</v>
      </c>
      <c r="B10" s="115" t="s">
        <v>261</v>
      </c>
      <c r="C10" s="115"/>
      <c r="D10" s="42">
        <v>220</v>
      </c>
      <c r="E10" s="114">
        <v>130</v>
      </c>
      <c r="F10" s="114">
        <v>100</v>
      </c>
      <c r="G10" s="116">
        <v>4</v>
      </c>
      <c r="H10" s="115" t="s">
        <v>261</v>
      </c>
      <c r="I10" s="42">
        <f>242*0.7</f>
        <v>169.39999999999998</v>
      </c>
      <c r="J10" s="42">
        <f>143*0.7</f>
        <v>100.1</v>
      </c>
      <c r="K10" s="42">
        <f>110*0.7</f>
        <v>77</v>
      </c>
      <c r="L10" s="104"/>
    </row>
    <row r="11" spans="1:12" ht="51" customHeight="1" x14ac:dyDescent="0.25">
      <c r="A11" s="112">
        <v>5</v>
      </c>
      <c r="B11" s="113" t="s">
        <v>262</v>
      </c>
      <c r="C11" s="113"/>
      <c r="D11" s="42">
        <v>480</v>
      </c>
      <c r="E11" s="114">
        <v>220</v>
      </c>
      <c r="F11" s="114">
        <v>130</v>
      </c>
      <c r="G11" s="112">
        <v>5</v>
      </c>
      <c r="H11" s="113" t="s">
        <v>262</v>
      </c>
      <c r="I11" s="42">
        <f>528*0.7</f>
        <v>369.59999999999997</v>
      </c>
      <c r="J11" s="42">
        <f>242*0.7</f>
        <v>169.39999999999998</v>
      </c>
      <c r="K11" s="42">
        <f>143*0.7</f>
        <v>100.1</v>
      </c>
      <c r="L11" s="104"/>
    </row>
    <row r="12" spans="1:12" ht="30" customHeight="1" x14ac:dyDescent="0.25">
      <c r="A12" s="116">
        <v>6</v>
      </c>
      <c r="B12" s="113" t="s">
        <v>263</v>
      </c>
      <c r="C12" s="113"/>
      <c r="D12" s="42">
        <v>290</v>
      </c>
      <c r="E12" s="114">
        <v>190</v>
      </c>
      <c r="F12" s="114">
        <v>100</v>
      </c>
      <c r="G12" s="116">
        <v>6</v>
      </c>
      <c r="H12" s="86" t="s">
        <v>264</v>
      </c>
      <c r="I12" s="42">
        <f>319*0.7</f>
        <v>223.29999999999998</v>
      </c>
      <c r="J12" s="42">
        <f>209*0.7</f>
        <v>146.29999999999998</v>
      </c>
      <c r="K12" s="42">
        <f>110*0.7</f>
        <v>77</v>
      </c>
      <c r="L12" s="104"/>
    </row>
    <row r="13" spans="1:12" ht="62.25" customHeight="1" x14ac:dyDescent="0.25">
      <c r="A13" s="112">
        <v>7</v>
      </c>
      <c r="B13" s="113" t="s">
        <v>265</v>
      </c>
      <c r="C13" s="113"/>
      <c r="D13" s="42">
        <v>350</v>
      </c>
      <c r="E13" s="114">
        <v>220</v>
      </c>
      <c r="F13" s="114">
        <v>110</v>
      </c>
      <c r="G13" s="112">
        <v>7</v>
      </c>
      <c r="H13" s="113" t="s">
        <v>266</v>
      </c>
      <c r="I13" s="42">
        <f>385*0.7</f>
        <v>269.5</v>
      </c>
      <c r="J13" s="42">
        <f>242*0.7</f>
        <v>169.39999999999998</v>
      </c>
      <c r="K13" s="42">
        <f>121*0.7</f>
        <v>84.699999999999989</v>
      </c>
      <c r="L13" s="104"/>
    </row>
    <row r="14" spans="1:12" ht="37.5" customHeight="1" x14ac:dyDescent="0.25">
      <c r="A14" s="116">
        <v>8</v>
      </c>
      <c r="B14" s="113" t="s">
        <v>267</v>
      </c>
      <c r="C14" s="113"/>
      <c r="D14" s="42">
        <v>75</v>
      </c>
      <c r="E14" s="114">
        <v>70</v>
      </c>
      <c r="F14" s="114">
        <v>60</v>
      </c>
      <c r="G14" s="116">
        <v>8</v>
      </c>
      <c r="H14" s="113" t="s">
        <v>268</v>
      </c>
      <c r="I14" s="42">
        <f>82.5*0.7</f>
        <v>57.749999999999993</v>
      </c>
      <c r="J14" s="42">
        <f>77*0.7</f>
        <v>53.9</v>
      </c>
      <c r="K14" s="42">
        <f>66*0.7</f>
        <v>46.199999999999996</v>
      </c>
      <c r="L14" s="104"/>
    </row>
    <row r="15" spans="1:12" ht="29.45" customHeight="1" x14ac:dyDescent="0.25">
      <c r="A15" s="107" t="s">
        <v>17</v>
      </c>
      <c r="B15" s="111" t="s">
        <v>269</v>
      </c>
      <c r="C15" s="111"/>
      <c r="D15" s="42"/>
      <c r="E15" s="114"/>
      <c r="F15" s="114"/>
      <c r="G15" s="107" t="s">
        <v>17</v>
      </c>
      <c r="H15" s="111" t="s">
        <v>269</v>
      </c>
      <c r="I15" s="42"/>
      <c r="J15" s="114"/>
      <c r="K15" s="114"/>
      <c r="L15" s="104"/>
    </row>
    <row r="16" spans="1:12" ht="48" customHeight="1" x14ac:dyDescent="0.25">
      <c r="A16" s="116">
        <v>1</v>
      </c>
      <c r="B16" s="113" t="s">
        <v>270</v>
      </c>
      <c r="C16" s="113"/>
      <c r="D16" s="42">
        <v>530</v>
      </c>
      <c r="E16" s="114">
        <v>350</v>
      </c>
      <c r="F16" s="114">
        <v>230</v>
      </c>
      <c r="G16" s="116">
        <v>1</v>
      </c>
      <c r="H16" s="113" t="s">
        <v>270</v>
      </c>
      <c r="I16" s="42">
        <f>583*0.7</f>
        <v>408.09999999999997</v>
      </c>
      <c r="J16" s="114">
        <f>385*0.7</f>
        <v>269.5</v>
      </c>
      <c r="K16" s="114">
        <f>253*0.7</f>
        <v>177.1</v>
      </c>
      <c r="L16" s="104" t="s">
        <v>885</v>
      </c>
    </row>
    <row r="17" spans="1:12" ht="67.5" customHeight="1" x14ac:dyDescent="0.25">
      <c r="A17" s="116">
        <v>2</v>
      </c>
      <c r="B17" s="113" t="s">
        <v>271</v>
      </c>
      <c r="C17" s="113"/>
      <c r="D17" s="42">
        <v>650</v>
      </c>
      <c r="E17" s="114">
        <v>300</v>
      </c>
      <c r="F17" s="114">
        <v>150</v>
      </c>
      <c r="G17" s="116">
        <v>2</v>
      </c>
      <c r="H17" s="113" t="s">
        <v>970</v>
      </c>
      <c r="I17" s="42">
        <f>715*0.7</f>
        <v>500.49999999999994</v>
      </c>
      <c r="J17" s="42">
        <f>330*0.7</f>
        <v>230.99999999999997</v>
      </c>
      <c r="K17" s="42">
        <f>165*0.7</f>
        <v>115.49999999999999</v>
      </c>
      <c r="L17" s="104"/>
    </row>
    <row r="18" spans="1:12" ht="60.75" customHeight="1" x14ac:dyDescent="0.25">
      <c r="A18" s="116">
        <v>3</v>
      </c>
      <c r="B18" s="113" t="s">
        <v>272</v>
      </c>
      <c r="C18" s="113" t="s">
        <v>273</v>
      </c>
      <c r="D18" s="42">
        <v>330</v>
      </c>
      <c r="E18" s="114">
        <v>220</v>
      </c>
      <c r="F18" s="114">
        <v>100</v>
      </c>
      <c r="G18" s="116">
        <v>3</v>
      </c>
      <c r="H18" s="113" t="s">
        <v>273</v>
      </c>
      <c r="I18" s="42">
        <f>363*0.7</f>
        <v>254.1</v>
      </c>
      <c r="J18" s="42">
        <f>242*0.7</f>
        <v>169.39999999999998</v>
      </c>
      <c r="K18" s="42">
        <f>110*0.7</f>
        <v>77</v>
      </c>
      <c r="L18" s="104"/>
    </row>
    <row r="19" spans="1:12" ht="66.75" customHeight="1" x14ac:dyDescent="0.25">
      <c r="A19" s="116">
        <v>4</v>
      </c>
      <c r="B19" s="113" t="s">
        <v>274</v>
      </c>
      <c r="C19" s="113" t="s">
        <v>275</v>
      </c>
      <c r="D19" s="42">
        <v>300</v>
      </c>
      <c r="E19" s="114">
        <v>200</v>
      </c>
      <c r="F19" s="114">
        <v>100</v>
      </c>
      <c r="G19" s="116">
        <v>4</v>
      </c>
      <c r="H19" s="113" t="s">
        <v>275</v>
      </c>
      <c r="I19" s="42">
        <f>330*0.7</f>
        <v>230.99999999999997</v>
      </c>
      <c r="J19" s="42">
        <f>220*0.7</f>
        <v>154</v>
      </c>
      <c r="K19" s="42">
        <f>110*0.7</f>
        <v>77</v>
      </c>
      <c r="L19" s="104"/>
    </row>
    <row r="20" spans="1:12" ht="49.5" customHeight="1" x14ac:dyDescent="0.25">
      <c r="A20" s="116">
        <v>5</v>
      </c>
      <c r="B20" s="113" t="s">
        <v>276</v>
      </c>
      <c r="C20" s="113"/>
      <c r="D20" s="42">
        <v>200</v>
      </c>
      <c r="E20" s="114">
        <v>90</v>
      </c>
      <c r="F20" s="114">
        <v>70</v>
      </c>
      <c r="G20" s="116">
        <v>5</v>
      </c>
      <c r="H20" s="113" t="s">
        <v>886</v>
      </c>
      <c r="I20" s="42">
        <f>220*0.7</f>
        <v>154</v>
      </c>
      <c r="J20" s="42">
        <f>99*0.7</f>
        <v>69.3</v>
      </c>
      <c r="K20" s="42">
        <f>77*0.7</f>
        <v>53.9</v>
      </c>
      <c r="L20" s="104"/>
    </row>
    <row r="21" spans="1:12" ht="28.5" customHeight="1" x14ac:dyDescent="0.25">
      <c r="A21" s="116">
        <v>6</v>
      </c>
      <c r="B21" s="113" t="s">
        <v>277</v>
      </c>
      <c r="C21" s="113"/>
      <c r="D21" s="42">
        <v>200</v>
      </c>
      <c r="E21" s="114">
        <v>90</v>
      </c>
      <c r="F21" s="114">
        <v>70</v>
      </c>
      <c r="G21" s="116">
        <v>6</v>
      </c>
      <c r="H21" s="113" t="s">
        <v>277</v>
      </c>
      <c r="I21" s="42">
        <f>220*0.7</f>
        <v>154</v>
      </c>
      <c r="J21" s="42">
        <f>99*0.7</f>
        <v>69.3</v>
      </c>
      <c r="K21" s="42">
        <f>77*0.7</f>
        <v>53.9</v>
      </c>
      <c r="L21" s="104"/>
    </row>
    <row r="22" spans="1:12" ht="43.5" customHeight="1" x14ac:dyDescent="0.25">
      <c r="A22" s="116">
        <v>7</v>
      </c>
      <c r="B22" s="115" t="s">
        <v>278</v>
      </c>
      <c r="C22" s="115"/>
      <c r="D22" s="42">
        <v>75</v>
      </c>
      <c r="E22" s="114">
        <v>70</v>
      </c>
      <c r="F22" s="114">
        <v>60</v>
      </c>
      <c r="G22" s="116">
        <v>7</v>
      </c>
      <c r="H22" s="113" t="s">
        <v>268</v>
      </c>
      <c r="I22" s="42">
        <f>82.5*0.7</f>
        <v>57.749999999999993</v>
      </c>
      <c r="J22" s="42">
        <f>77*0.7</f>
        <v>53.9</v>
      </c>
      <c r="K22" s="42">
        <f>66*0.7</f>
        <v>46.199999999999996</v>
      </c>
      <c r="L22" s="104"/>
    </row>
    <row r="23" spans="1:12" ht="48.75" customHeight="1" x14ac:dyDescent="0.25">
      <c r="A23" s="116">
        <v>8</v>
      </c>
      <c r="B23" s="113" t="s">
        <v>279</v>
      </c>
      <c r="C23" s="113"/>
      <c r="D23" s="42">
        <v>170</v>
      </c>
      <c r="E23" s="114">
        <v>80</v>
      </c>
      <c r="F23" s="114">
        <v>60</v>
      </c>
      <c r="G23" s="116">
        <v>8</v>
      </c>
      <c r="H23" s="113" t="s">
        <v>279</v>
      </c>
      <c r="I23" s="42">
        <f>187*0.7</f>
        <v>130.9</v>
      </c>
      <c r="J23" s="42">
        <f>88*0.7</f>
        <v>61.599999999999994</v>
      </c>
      <c r="K23" s="42">
        <f>66*0.7</f>
        <v>46.199999999999996</v>
      </c>
      <c r="L23" s="104"/>
    </row>
    <row r="24" spans="1:12" ht="27" customHeight="1" x14ac:dyDescent="0.25">
      <c r="A24" s="107" t="s">
        <v>28</v>
      </c>
      <c r="B24" s="111" t="s">
        <v>280</v>
      </c>
      <c r="C24" s="111"/>
      <c r="D24" s="42"/>
      <c r="E24" s="114"/>
      <c r="F24" s="114"/>
      <c r="G24" s="107" t="s">
        <v>28</v>
      </c>
      <c r="H24" s="111" t="s">
        <v>280</v>
      </c>
      <c r="I24" s="42"/>
      <c r="J24" s="114"/>
      <c r="K24" s="114"/>
      <c r="L24" s="104"/>
    </row>
    <row r="25" spans="1:12" ht="63.75" customHeight="1" x14ac:dyDescent="0.25">
      <c r="A25" s="116">
        <v>1</v>
      </c>
      <c r="B25" s="115" t="s">
        <v>281</v>
      </c>
      <c r="C25" s="115"/>
      <c r="D25" s="42">
        <v>500</v>
      </c>
      <c r="E25" s="114">
        <v>280</v>
      </c>
      <c r="F25" s="114">
        <v>200</v>
      </c>
      <c r="G25" s="116">
        <v>1</v>
      </c>
      <c r="H25" s="115" t="s">
        <v>281</v>
      </c>
      <c r="I25" s="42">
        <f>550*0.7</f>
        <v>385</v>
      </c>
      <c r="J25" s="42">
        <f>308*0.7</f>
        <v>215.6</v>
      </c>
      <c r="K25" s="42">
        <f>220*0.7</f>
        <v>154</v>
      </c>
      <c r="L25" s="104"/>
    </row>
    <row r="26" spans="1:12" ht="69.75" customHeight="1" x14ac:dyDescent="0.25">
      <c r="A26" s="116">
        <v>2</v>
      </c>
      <c r="B26" s="115" t="s">
        <v>282</v>
      </c>
      <c r="C26" s="115" t="s">
        <v>283</v>
      </c>
      <c r="D26" s="42">
        <v>550</v>
      </c>
      <c r="E26" s="114">
        <v>380</v>
      </c>
      <c r="F26" s="114">
        <v>250</v>
      </c>
      <c r="G26" s="116">
        <v>2</v>
      </c>
      <c r="H26" s="115" t="s">
        <v>283</v>
      </c>
      <c r="I26" s="42">
        <f>605*0.7</f>
        <v>423.5</v>
      </c>
      <c r="J26" s="42">
        <f>418*0.7</f>
        <v>292.59999999999997</v>
      </c>
      <c r="K26" s="42">
        <f>275*0.7</f>
        <v>192.5</v>
      </c>
      <c r="L26" s="104"/>
    </row>
    <row r="27" spans="1:12" ht="23.25" customHeight="1" x14ac:dyDescent="0.25">
      <c r="A27" s="116">
        <v>3</v>
      </c>
      <c r="B27" s="115" t="s">
        <v>284</v>
      </c>
      <c r="C27" s="115"/>
      <c r="D27" s="42">
        <v>290</v>
      </c>
      <c r="E27" s="114">
        <v>190</v>
      </c>
      <c r="F27" s="114">
        <v>100</v>
      </c>
      <c r="G27" s="116">
        <v>3</v>
      </c>
      <c r="H27" s="117" t="s">
        <v>264</v>
      </c>
      <c r="I27" s="42">
        <f>319*0.7</f>
        <v>223.29999999999998</v>
      </c>
      <c r="J27" s="42">
        <f>209*0.7</f>
        <v>146.29999999999998</v>
      </c>
      <c r="K27" s="42">
        <f>110*0.7</f>
        <v>77</v>
      </c>
      <c r="L27" s="104"/>
    </row>
    <row r="28" spans="1:12" ht="68.25" customHeight="1" x14ac:dyDescent="0.25">
      <c r="A28" s="116">
        <v>4</v>
      </c>
      <c r="B28" s="115" t="s">
        <v>285</v>
      </c>
      <c r="C28" s="115"/>
      <c r="D28" s="42">
        <v>320</v>
      </c>
      <c r="E28" s="114">
        <v>220</v>
      </c>
      <c r="F28" s="114">
        <v>100</v>
      </c>
      <c r="G28" s="116">
        <v>4</v>
      </c>
      <c r="H28" s="115" t="s">
        <v>285</v>
      </c>
      <c r="I28" s="42">
        <f>352*0.7</f>
        <v>246.39999999999998</v>
      </c>
      <c r="J28" s="42">
        <f>242*0.7</f>
        <v>169.39999999999998</v>
      </c>
      <c r="K28" s="42">
        <f>110*0.7</f>
        <v>77</v>
      </c>
      <c r="L28" s="104"/>
    </row>
    <row r="29" spans="1:12" ht="21" hidden="1" customHeight="1" x14ac:dyDescent="0.25">
      <c r="A29" s="116"/>
      <c r="B29" s="115"/>
      <c r="C29" s="115"/>
      <c r="D29" s="42"/>
      <c r="E29" s="114"/>
      <c r="F29" s="114"/>
      <c r="G29" s="116">
        <v>5</v>
      </c>
      <c r="H29" s="115" t="s">
        <v>286</v>
      </c>
      <c r="I29" s="42"/>
      <c r="J29" s="42"/>
      <c r="K29" s="42"/>
      <c r="L29" s="104"/>
    </row>
    <row r="30" spans="1:12" ht="19.5" hidden="1" customHeight="1" x14ac:dyDescent="0.25">
      <c r="A30" s="116"/>
      <c r="B30" s="115"/>
      <c r="C30" s="115"/>
      <c r="D30" s="42"/>
      <c r="E30" s="114"/>
      <c r="F30" s="114"/>
      <c r="G30" s="116"/>
      <c r="H30" s="115" t="s">
        <v>287</v>
      </c>
      <c r="I30" s="42"/>
      <c r="J30" s="42"/>
      <c r="K30" s="42"/>
      <c r="L30" s="104"/>
    </row>
    <row r="31" spans="1:12" ht="33" customHeight="1" x14ac:dyDescent="0.25">
      <c r="A31" s="116">
        <v>5</v>
      </c>
      <c r="B31" s="115" t="s">
        <v>288</v>
      </c>
      <c r="C31" s="115"/>
      <c r="D31" s="42">
        <v>75</v>
      </c>
      <c r="E31" s="114">
        <v>70</v>
      </c>
      <c r="F31" s="114">
        <v>60</v>
      </c>
      <c r="G31" s="116">
        <v>5</v>
      </c>
      <c r="H31" s="113" t="s">
        <v>268</v>
      </c>
      <c r="I31" s="42">
        <f>83*70%</f>
        <v>58.099999999999994</v>
      </c>
      <c r="J31" s="42">
        <f>77*70%</f>
        <v>53.9</v>
      </c>
      <c r="K31" s="42">
        <f>66*70%</f>
        <v>46.199999999999996</v>
      </c>
      <c r="L31" s="104"/>
    </row>
    <row r="32" spans="1:12" ht="27.2" customHeight="1" x14ac:dyDescent="0.25">
      <c r="A32" s="107" t="s">
        <v>34</v>
      </c>
      <c r="B32" s="111" t="s">
        <v>289</v>
      </c>
      <c r="C32" s="111"/>
      <c r="D32" s="42"/>
      <c r="E32" s="114"/>
      <c r="F32" s="114"/>
      <c r="G32" s="107" t="s">
        <v>34</v>
      </c>
      <c r="H32" s="111" t="s">
        <v>289</v>
      </c>
      <c r="I32" s="42"/>
      <c r="J32" s="114"/>
      <c r="K32" s="114"/>
      <c r="L32" s="104"/>
    </row>
    <row r="33" spans="1:12" ht="69" customHeight="1" x14ac:dyDescent="0.25">
      <c r="A33" s="116">
        <v>1</v>
      </c>
      <c r="B33" s="115" t="s">
        <v>290</v>
      </c>
      <c r="C33" s="115"/>
      <c r="D33" s="42">
        <v>440</v>
      </c>
      <c r="E33" s="114">
        <v>230</v>
      </c>
      <c r="F33" s="114">
        <v>130</v>
      </c>
      <c r="G33" s="116">
        <v>1</v>
      </c>
      <c r="H33" s="115" t="s">
        <v>290</v>
      </c>
      <c r="I33" s="42">
        <f>484*0.7</f>
        <v>338.79999999999995</v>
      </c>
      <c r="J33" s="42">
        <f>253*37</f>
        <v>9361</v>
      </c>
      <c r="K33" s="42">
        <f>143*0.7</f>
        <v>100.1</v>
      </c>
      <c r="L33" s="104"/>
    </row>
    <row r="34" spans="1:12" ht="28.5" customHeight="1" x14ac:dyDescent="0.25">
      <c r="A34" s="116">
        <v>2</v>
      </c>
      <c r="B34" s="115" t="s">
        <v>291</v>
      </c>
      <c r="C34" s="115"/>
      <c r="D34" s="42">
        <v>250</v>
      </c>
      <c r="E34" s="114">
        <v>145</v>
      </c>
      <c r="F34" s="114">
        <v>80</v>
      </c>
      <c r="G34" s="116">
        <v>2</v>
      </c>
      <c r="H34" s="115" t="s">
        <v>291</v>
      </c>
      <c r="I34" s="42">
        <f>275*0.7</f>
        <v>192.5</v>
      </c>
      <c r="J34" s="42">
        <f>159.5*0.7</f>
        <v>111.64999999999999</v>
      </c>
      <c r="K34" s="42">
        <f>88*0.7</f>
        <v>61.599999999999994</v>
      </c>
      <c r="L34" s="104"/>
    </row>
    <row r="35" spans="1:12" ht="29.25" customHeight="1" x14ac:dyDescent="0.25">
      <c r="A35" s="116">
        <v>3</v>
      </c>
      <c r="B35" s="115" t="s">
        <v>292</v>
      </c>
      <c r="C35" s="115"/>
      <c r="D35" s="42"/>
      <c r="E35" s="114"/>
      <c r="F35" s="114"/>
      <c r="G35" s="116">
        <v>3</v>
      </c>
      <c r="H35" s="115" t="s">
        <v>292</v>
      </c>
      <c r="I35" s="42"/>
      <c r="J35" s="114"/>
      <c r="K35" s="114"/>
      <c r="L35" s="104"/>
    </row>
    <row r="36" spans="1:12" ht="31.5" customHeight="1" x14ac:dyDescent="0.25">
      <c r="A36" s="116"/>
      <c r="B36" s="115" t="s">
        <v>293</v>
      </c>
      <c r="C36" s="115"/>
      <c r="D36" s="42">
        <v>270</v>
      </c>
      <c r="E36" s="114"/>
      <c r="F36" s="114"/>
      <c r="G36" s="116"/>
      <c r="H36" s="115" t="s">
        <v>293</v>
      </c>
      <c r="I36" s="42">
        <f>297*0.7</f>
        <v>207.89999999999998</v>
      </c>
      <c r="J36" s="42"/>
      <c r="K36" s="42"/>
      <c r="L36" s="104"/>
    </row>
    <row r="37" spans="1:12" ht="33.75" customHeight="1" x14ac:dyDescent="0.25">
      <c r="A37" s="116"/>
      <c r="B37" s="115" t="s">
        <v>294</v>
      </c>
      <c r="C37" s="115"/>
      <c r="D37" s="42">
        <v>310</v>
      </c>
      <c r="E37" s="114"/>
      <c r="F37" s="114"/>
      <c r="G37" s="116"/>
      <c r="H37" s="115" t="s">
        <v>294</v>
      </c>
      <c r="I37" s="42">
        <f>341*0.7</f>
        <v>238.7</v>
      </c>
      <c r="J37" s="42"/>
      <c r="K37" s="42"/>
      <c r="L37" s="104"/>
    </row>
    <row r="38" spans="1:12" ht="26.25" customHeight="1" x14ac:dyDescent="0.25">
      <c r="A38" s="116"/>
      <c r="B38" s="115" t="s">
        <v>295</v>
      </c>
      <c r="C38" s="115"/>
      <c r="D38" s="42">
        <v>240</v>
      </c>
      <c r="E38" s="114"/>
      <c r="F38" s="114"/>
      <c r="G38" s="116"/>
      <c r="H38" s="115" t="s">
        <v>295</v>
      </c>
      <c r="I38" s="42">
        <f>264*0.7</f>
        <v>184.79999999999998</v>
      </c>
      <c r="J38" s="42"/>
      <c r="K38" s="42"/>
      <c r="L38" s="104"/>
    </row>
    <row r="39" spans="1:12" ht="33" customHeight="1" x14ac:dyDescent="0.25">
      <c r="A39" s="116"/>
      <c r="B39" s="115" t="s">
        <v>296</v>
      </c>
      <c r="C39" s="115"/>
      <c r="D39" s="42">
        <v>210</v>
      </c>
      <c r="E39" s="114"/>
      <c r="F39" s="114"/>
      <c r="G39" s="116"/>
      <c r="H39" s="115" t="s">
        <v>296</v>
      </c>
      <c r="I39" s="42">
        <f>231*0.7</f>
        <v>161.69999999999999</v>
      </c>
      <c r="J39" s="42"/>
      <c r="K39" s="42"/>
      <c r="L39" s="104"/>
    </row>
    <row r="40" spans="1:12" ht="37.5" customHeight="1" x14ac:dyDescent="0.25">
      <c r="A40" s="116">
        <v>4</v>
      </c>
      <c r="B40" s="115" t="s">
        <v>278</v>
      </c>
      <c r="C40" s="115"/>
      <c r="D40" s="42">
        <v>75</v>
      </c>
      <c r="E40" s="114">
        <v>70</v>
      </c>
      <c r="F40" s="114">
        <v>60</v>
      </c>
      <c r="G40" s="116">
        <v>4</v>
      </c>
      <c r="H40" s="113" t="s">
        <v>268</v>
      </c>
      <c r="I40" s="42">
        <f>82.5*0.7</f>
        <v>57.749999999999993</v>
      </c>
      <c r="J40" s="42">
        <f>77*0.7</f>
        <v>53.9</v>
      </c>
      <c r="K40" s="42">
        <f>66*0.7</f>
        <v>46.199999999999996</v>
      </c>
      <c r="L40" s="104"/>
    </row>
    <row r="41" spans="1:12" ht="60" customHeight="1" x14ac:dyDescent="0.25">
      <c r="A41" s="116">
        <v>5</v>
      </c>
      <c r="B41" s="115" t="s">
        <v>297</v>
      </c>
      <c r="C41" s="115"/>
      <c r="D41" s="42">
        <v>170</v>
      </c>
      <c r="E41" s="114">
        <v>90</v>
      </c>
      <c r="F41" s="42">
        <v>70</v>
      </c>
      <c r="G41" s="116">
        <v>5</v>
      </c>
      <c r="H41" s="115" t="s">
        <v>297</v>
      </c>
      <c r="I41" s="42">
        <f>187*0.7</f>
        <v>130.9</v>
      </c>
      <c r="J41" s="42">
        <f>99*0.7</f>
        <v>69.3</v>
      </c>
      <c r="K41" s="42">
        <f>77*0.7</f>
        <v>53.9</v>
      </c>
      <c r="L41" s="104"/>
    </row>
    <row r="42" spans="1:12" ht="24" customHeight="1" x14ac:dyDescent="0.25">
      <c r="A42" s="107" t="s">
        <v>42</v>
      </c>
      <c r="B42" s="111" t="s">
        <v>298</v>
      </c>
      <c r="C42" s="111"/>
      <c r="D42" s="42"/>
      <c r="E42" s="114"/>
      <c r="F42" s="114"/>
      <c r="G42" s="107" t="s">
        <v>42</v>
      </c>
      <c r="H42" s="111" t="s">
        <v>298</v>
      </c>
      <c r="I42" s="42"/>
      <c r="J42" s="42"/>
      <c r="K42" s="42"/>
      <c r="L42" s="104"/>
    </row>
    <row r="43" spans="1:12" ht="68.25" customHeight="1" x14ac:dyDescent="0.25">
      <c r="A43" s="116">
        <v>1</v>
      </c>
      <c r="B43" s="118" t="s">
        <v>299</v>
      </c>
      <c r="C43" s="118"/>
      <c r="D43" s="42">
        <v>300</v>
      </c>
      <c r="E43" s="114">
        <v>180</v>
      </c>
      <c r="F43" s="114">
        <v>90</v>
      </c>
      <c r="G43" s="116">
        <v>1</v>
      </c>
      <c r="H43" s="118" t="s">
        <v>299</v>
      </c>
      <c r="I43" s="42">
        <f>330*0.7</f>
        <v>230.99999999999997</v>
      </c>
      <c r="J43" s="42">
        <f>198*0.7</f>
        <v>138.6</v>
      </c>
      <c r="K43" s="42">
        <f>99*0.7</f>
        <v>69.3</v>
      </c>
      <c r="L43" s="104"/>
    </row>
    <row r="44" spans="1:12" ht="41.25" customHeight="1" x14ac:dyDescent="0.25">
      <c r="A44" s="116">
        <v>2</v>
      </c>
      <c r="B44" s="115" t="s">
        <v>300</v>
      </c>
      <c r="C44" s="115"/>
      <c r="D44" s="42">
        <v>170</v>
      </c>
      <c r="E44" s="114">
        <v>90</v>
      </c>
      <c r="F44" s="114">
        <v>70</v>
      </c>
      <c r="G44" s="116">
        <v>2</v>
      </c>
      <c r="H44" s="115" t="s">
        <v>300</v>
      </c>
      <c r="I44" s="42">
        <f>187*0.7</f>
        <v>130.9</v>
      </c>
      <c r="J44" s="42">
        <f>99*0.7</f>
        <v>69.3</v>
      </c>
      <c r="K44" s="42">
        <f>77*0.7</f>
        <v>53.9</v>
      </c>
      <c r="L44" s="104"/>
    </row>
    <row r="45" spans="1:12" ht="46.5" customHeight="1" x14ac:dyDescent="0.25">
      <c r="A45" s="116">
        <v>3</v>
      </c>
      <c r="B45" s="115" t="s">
        <v>301</v>
      </c>
      <c r="C45" s="115"/>
      <c r="D45" s="42">
        <v>120</v>
      </c>
      <c r="E45" s="114">
        <v>80</v>
      </c>
      <c r="F45" s="114">
        <v>70</v>
      </c>
      <c r="G45" s="116">
        <v>3</v>
      </c>
      <c r="H45" s="115" t="s">
        <v>301</v>
      </c>
      <c r="I45" s="42">
        <f>132*0.7</f>
        <v>92.399999999999991</v>
      </c>
      <c r="J45" s="42">
        <f>88*0.7</f>
        <v>61.599999999999994</v>
      </c>
      <c r="K45" s="42">
        <f>77*0.7</f>
        <v>53.9</v>
      </c>
      <c r="L45" s="104"/>
    </row>
    <row r="46" spans="1:12" ht="36" customHeight="1" x14ac:dyDescent="0.25">
      <c r="A46" s="116">
        <v>4</v>
      </c>
      <c r="B46" s="115" t="s">
        <v>288</v>
      </c>
      <c r="C46" s="115"/>
      <c r="D46" s="42">
        <v>75</v>
      </c>
      <c r="E46" s="114">
        <v>70</v>
      </c>
      <c r="F46" s="114">
        <v>60</v>
      </c>
      <c r="G46" s="116">
        <v>4</v>
      </c>
      <c r="H46" s="113" t="s">
        <v>268</v>
      </c>
      <c r="I46" s="42">
        <f>82.5*0.7</f>
        <v>57.749999999999993</v>
      </c>
      <c r="J46" s="42">
        <f>77*0.7</f>
        <v>53.9</v>
      </c>
      <c r="K46" s="42">
        <f>66*0.7</f>
        <v>46.199999999999996</v>
      </c>
      <c r="L46" s="104"/>
    </row>
    <row r="47" spans="1:12" ht="24" customHeight="1" x14ac:dyDescent="0.25">
      <c r="A47" s="107" t="s">
        <v>250</v>
      </c>
      <c r="B47" s="111" t="s">
        <v>302</v>
      </c>
      <c r="C47" s="111"/>
      <c r="D47" s="42"/>
      <c r="E47" s="42"/>
      <c r="F47" s="114"/>
      <c r="G47" s="107" t="s">
        <v>250</v>
      </c>
      <c r="H47" s="111" t="s">
        <v>302</v>
      </c>
      <c r="I47" s="42"/>
      <c r="J47" s="42"/>
      <c r="K47" s="42"/>
      <c r="L47" s="104"/>
    </row>
    <row r="48" spans="1:12" ht="61.5" customHeight="1" x14ac:dyDescent="0.25">
      <c r="A48" s="116">
        <v>1</v>
      </c>
      <c r="B48" s="115" t="s">
        <v>303</v>
      </c>
      <c r="C48" s="115"/>
      <c r="D48" s="42">
        <v>280</v>
      </c>
      <c r="E48" s="114">
        <v>170</v>
      </c>
      <c r="F48" s="114">
        <v>80</v>
      </c>
      <c r="G48" s="116">
        <v>1</v>
      </c>
      <c r="H48" s="115" t="s">
        <v>303</v>
      </c>
      <c r="I48" s="42">
        <f>308*0.7</f>
        <v>215.6</v>
      </c>
      <c r="J48" s="42">
        <f>187*0.7</f>
        <v>130.9</v>
      </c>
      <c r="K48" s="42">
        <f>88*0.7</f>
        <v>61.599999999999994</v>
      </c>
      <c r="L48" s="104"/>
    </row>
    <row r="49" spans="1:12" ht="35.25" customHeight="1" x14ac:dyDescent="0.25">
      <c r="A49" s="116">
        <v>2</v>
      </c>
      <c r="B49" s="115" t="s">
        <v>304</v>
      </c>
      <c r="C49" s="115"/>
      <c r="D49" s="42">
        <v>150</v>
      </c>
      <c r="E49" s="114">
        <v>90</v>
      </c>
      <c r="F49" s="114">
        <v>70</v>
      </c>
      <c r="G49" s="116">
        <v>2</v>
      </c>
      <c r="H49" s="115" t="s">
        <v>304</v>
      </c>
      <c r="I49" s="42">
        <f>165*0.7</f>
        <v>115.49999999999999</v>
      </c>
      <c r="J49" s="42">
        <f>99*0.7</f>
        <v>69.3</v>
      </c>
      <c r="K49" s="42">
        <f>77*0.7</f>
        <v>53.9</v>
      </c>
      <c r="L49" s="104"/>
    </row>
    <row r="50" spans="1:12" ht="36" customHeight="1" x14ac:dyDescent="0.25">
      <c r="A50" s="116">
        <v>3</v>
      </c>
      <c r="B50" s="115" t="s">
        <v>267</v>
      </c>
      <c r="C50" s="115"/>
      <c r="D50" s="42">
        <v>75</v>
      </c>
      <c r="E50" s="114">
        <v>70</v>
      </c>
      <c r="F50" s="114">
        <v>60</v>
      </c>
      <c r="G50" s="116">
        <v>3</v>
      </c>
      <c r="H50" s="113" t="s">
        <v>268</v>
      </c>
      <c r="I50" s="42">
        <f>82.5*0.7</f>
        <v>57.749999999999993</v>
      </c>
      <c r="J50" s="42">
        <f>77*0.7</f>
        <v>53.9</v>
      </c>
      <c r="K50" s="42">
        <f>66*0.7</f>
        <v>46.199999999999996</v>
      </c>
      <c r="L50" s="104"/>
    </row>
    <row r="51" spans="1:12" ht="48" customHeight="1" x14ac:dyDescent="0.25">
      <c r="A51" s="116">
        <v>4</v>
      </c>
      <c r="B51" s="115" t="s">
        <v>305</v>
      </c>
      <c r="C51" s="115"/>
      <c r="D51" s="42">
        <v>150</v>
      </c>
      <c r="E51" s="114">
        <v>100</v>
      </c>
      <c r="F51" s="114">
        <v>80</v>
      </c>
      <c r="G51" s="116">
        <v>4</v>
      </c>
      <c r="H51" s="115" t="s">
        <v>305</v>
      </c>
      <c r="I51" s="42">
        <f>165*0.7</f>
        <v>115.49999999999999</v>
      </c>
      <c r="J51" s="42">
        <f>110*0.7</f>
        <v>77</v>
      </c>
      <c r="K51" s="42">
        <f>88*0.7</f>
        <v>61.599999999999994</v>
      </c>
      <c r="L51" s="104"/>
    </row>
    <row r="52" spans="1:12" ht="40.5" customHeight="1" x14ac:dyDescent="0.25">
      <c r="A52" s="116">
        <v>5</v>
      </c>
      <c r="B52" s="115" t="s">
        <v>306</v>
      </c>
      <c r="C52" s="115" t="s">
        <v>307</v>
      </c>
      <c r="D52" s="42">
        <v>100</v>
      </c>
      <c r="E52" s="114">
        <v>80</v>
      </c>
      <c r="F52" s="114">
        <v>70</v>
      </c>
      <c r="G52" s="116">
        <v>5</v>
      </c>
      <c r="H52" s="115" t="s">
        <v>307</v>
      </c>
      <c r="I52" s="42">
        <f>110*0.7</f>
        <v>77</v>
      </c>
      <c r="J52" s="42">
        <f>88*0.7</f>
        <v>61.599999999999994</v>
      </c>
      <c r="K52" s="42">
        <f>77*0.7</f>
        <v>53.9</v>
      </c>
      <c r="L52" s="104"/>
    </row>
    <row r="53" spans="1:12" ht="21.75" customHeight="1" x14ac:dyDescent="0.25">
      <c r="A53" s="107" t="s">
        <v>251</v>
      </c>
      <c r="B53" s="111" t="s">
        <v>308</v>
      </c>
      <c r="C53" s="111"/>
      <c r="D53" s="42"/>
      <c r="E53" s="114"/>
      <c r="F53" s="114"/>
      <c r="G53" s="107" t="s">
        <v>251</v>
      </c>
      <c r="H53" s="111" t="s">
        <v>308</v>
      </c>
      <c r="I53" s="42"/>
      <c r="J53" s="42"/>
      <c r="K53" s="42"/>
      <c r="L53" s="104"/>
    </row>
    <row r="54" spans="1:12" ht="64.5" customHeight="1" x14ac:dyDescent="0.25">
      <c r="A54" s="116">
        <v>1</v>
      </c>
      <c r="B54" s="115" t="s">
        <v>309</v>
      </c>
      <c r="C54" s="115"/>
      <c r="D54" s="42">
        <v>430</v>
      </c>
      <c r="E54" s="114">
        <v>240</v>
      </c>
      <c r="F54" s="114">
        <v>140</v>
      </c>
      <c r="G54" s="116">
        <v>1</v>
      </c>
      <c r="H54" s="115" t="s">
        <v>310</v>
      </c>
      <c r="I54" s="42">
        <f>473*0.7</f>
        <v>331.09999999999997</v>
      </c>
      <c r="J54" s="42">
        <f>264*0.7</f>
        <v>184.79999999999998</v>
      </c>
      <c r="K54" s="42">
        <f>154*0.7</f>
        <v>107.8</v>
      </c>
      <c r="L54" s="104"/>
    </row>
    <row r="55" spans="1:12" ht="26.25" customHeight="1" x14ac:dyDescent="0.25">
      <c r="A55" s="116">
        <v>2</v>
      </c>
      <c r="B55" s="115" t="s">
        <v>311</v>
      </c>
      <c r="C55" s="115"/>
      <c r="D55" s="42">
        <v>160</v>
      </c>
      <c r="E55" s="114">
        <v>90</v>
      </c>
      <c r="F55" s="114">
        <v>70</v>
      </c>
      <c r="G55" s="116">
        <v>2</v>
      </c>
      <c r="H55" s="115" t="s">
        <v>311</v>
      </c>
      <c r="I55" s="42">
        <f>176*0.7</f>
        <v>123.19999999999999</v>
      </c>
      <c r="J55" s="42">
        <f>99*0.7</f>
        <v>69.3</v>
      </c>
      <c r="K55" s="42">
        <f>77*0.7</f>
        <v>53.9</v>
      </c>
      <c r="L55" s="104"/>
    </row>
    <row r="56" spans="1:12" ht="50.25" customHeight="1" x14ac:dyDescent="0.25">
      <c r="A56" s="116">
        <v>3</v>
      </c>
      <c r="B56" s="115" t="s">
        <v>312</v>
      </c>
      <c r="C56" s="115"/>
      <c r="D56" s="42">
        <v>200</v>
      </c>
      <c r="E56" s="114">
        <v>130</v>
      </c>
      <c r="F56" s="114">
        <v>80</v>
      </c>
      <c r="G56" s="116">
        <v>3</v>
      </c>
      <c r="H56" s="115" t="s">
        <v>312</v>
      </c>
      <c r="I56" s="42">
        <f>220*0.7</f>
        <v>154</v>
      </c>
      <c r="J56" s="42">
        <f>143*0.7</f>
        <v>100.1</v>
      </c>
      <c r="K56" s="42">
        <f>88*0.7</f>
        <v>61.599999999999994</v>
      </c>
      <c r="L56" s="104"/>
    </row>
    <row r="57" spans="1:12" ht="60" customHeight="1" x14ac:dyDescent="0.25">
      <c r="A57" s="116">
        <v>4</v>
      </c>
      <c r="B57" s="115" t="s">
        <v>313</v>
      </c>
      <c r="C57" s="115"/>
      <c r="D57" s="42">
        <v>180</v>
      </c>
      <c r="E57" s="114">
        <v>110</v>
      </c>
      <c r="F57" s="114">
        <v>70</v>
      </c>
      <c r="G57" s="116">
        <v>4</v>
      </c>
      <c r="H57" s="115" t="s">
        <v>314</v>
      </c>
      <c r="I57" s="42">
        <f>198*0.7</f>
        <v>138.6</v>
      </c>
      <c r="J57" s="42">
        <f>121*0.7</f>
        <v>84.699999999999989</v>
      </c>
      <c r="K57" s="42">
        <f>77*0.7</f>
        <v>53.9</v>
      </c>
      <c r="L57" s="104"/>
    </row>
    <row r="58" spans="1:12" ht="33.75" customHeight="1" x14ac:dyDescent="0.25">
      <c r="A58" s="116">
        <v>5</v>
      </c>
      <c r="B58" s="115" t="s">
        <v>288</v>
      </c>
      <c r="C58" s="115"/>
      <c r="D58" s="42">
        <v>75</v>
      </c>
      <c r="E58" s="114">
        <v>70</v>
      </c>
      <c r="F58" s="114">
        <v>60</v>
      </c>
      <c r="G58" s="116">
        <v>5</v>
      </c>
      <c r="H58" s="113" t="s">
        <v>268</v>
      </c>
      <c r="I58" s="42">
        <f>82.5*0.7</f>
        <v>57.749999999999993</v>
      </c>
      <c r="J58" s="42">
        <f>77*0.7</f>
        <v>53.9</v>
      </c>
      <c r="K58" s="42">
        <f>66*0.7</f>
        <v>46.199999999999996</v>
      </c>
      <c r="L58" s="104"/>
    </row>
    <row r="59" spans="1:12" ht="31.5" customHeight="1" x14ac:dyDescent="0.25">
      <c r="A59" s="107" t="s">
        <v>315</v>
      </c>
      <c r="B59" s="111" t="s">
        <v>316</v>
      </c>
      <c r="C59" s="111"/>
      <c r="D59" s="42"/>
      <c r="E59" s="114"/>
      <c r="F59" s="114"/>
      <c r="G59" s="107" t="s">
        <v>315</v>
      </c>
      <c r="H59" s="111" t="s">
        <v>316</v>
      </c>
      <c r="I59" s="42"/>
      <c r="J59" s="42"/>
      <c r="K59" s="42"/>
      <c r="L59" s="104"/>
    </row>
    <row r="60" spans="1:12" ht="62.25" customHeight="1" x14ac:dyDescent="0.25">
      <c r="A60" s="116">
        <v>1</v>
      </c>
      <c r="B60" s="115" t="s">
        <v>317</v>
      </c>
      <c r="C60" s="115"/>
      <c r="D60" s="42">
        <v>350</v>
      </c>
      <c r="E60" s="114">
        <v>270</v>
      </c>
      <c r="F60" s="114">
        <v>150</v>
      </c>
      <c r="G60" s="116">
        <v>1</v>
      </c>
      <c r="H60" s="115" t="s">
        <v>317</v>
      </c>
      <c r="I60" s="42">
        <f>385*0.7</f>
        <v>269.5</v>
      </c>
      <c r="J60" s="42">
        <f>297*0.7</f>
        <v>207.89999999999998</v>
      </c>
      <c r="K60" s="42">
        <f>165*0.7</f>
        <v>115.49999999999999</v>
      </c>
      <c r="L60" s="104"/>
    </row>
    <row r="61" spans="1:12" ht="27" hidden="1" customHeight="1" x14ac:dyDescent="0.25">
      <c r="A61" s="116"/>
      <c r="B61" s="115"/>
      <c r="C61" s="115"/>
      <c r="D61" s="42"/>
      <c r="E61" s="114"/>
      <c r="F61" s="114"/>
      <c r="G61" s="116">
        <v>2</v>
      </c>
      <c r="H61" s="115" t="s">
        <v>318</v>
      </c>
      <c r="I61" s="42"/>
      <c r="J61" s="42"/>
      <c r="K61" s="42"/>
      <c r="L61" s="104"/>
    </row>
    <row r="62" spans="1:12" ht="27" hidden="1" customHeight="1" x14ac:dyDescent="0.25">
      <c r="A62" s="116"/>
      <c r="B62" s="115"/>
      <c r="C62" s="115"/>
      <c r="D62" s="42"/>
      <c r="E62" s="114"/>
      <c r="F62" s="114"/>
      <c r="G62" s="116"/>
      <c r="H62" s="115" t="s">
        <v>319</v>
      </c>
      <c r="I62" s="42"/>
      <c r="J62" s="42"/>
      <c r="K62" s="42"/>
      <c r="L62" s="104"/>
    </row>
    <row r="63" spans="1:12" ht="40.5" customHeight="1" x14ac:dyDescent="0.25">
      <c r="A63" s="116">
        <v>2</v>
      </c>
      <c r="B63" s="115" t="s">
        <v>320</v>
      </c>
      <c r="C63" s="115"/>
      <c r="D63" s="42">
        <v>130</v>
      </c>
      <c r="E63" s="114">
        <v>80</v>
      </c>
      <c r="F63" s="114">
        <v>70</v>
      </c>
      <c r="G63" s="116">
        <v>2</v>
      </c>
      <c r="H63" s="115" t="s">
        <v>320</v>
      </c>
      <c r="I63" s="42">
        <f>143*0.7</f>
        <v>100.1</v>
      </c>
      <c r="J63" s="42">
        <f>88*0.7</f>
        <v>61.599999999999994</v>
      </c>
      <c r="K63" s="42">
        <f>77*0.7</f>
        <v>53.9</v>
      </c>
      <c r="L63" s="104"/>
    </row>
    <row r="64" spans="1:12" ht="42.75" customHeight="1" x14ac:dyDescent="0.25">
      <c r="A64" s="116">
        <v>3</v>
      </c>
      <c r="B64" s="115" t="s">
        <v>288</v>
      </c>
      <c r="C64" s="115"/>
      <c r="D64" s="42">
        <v>70</v>
      </c>
      <c r="E64" s="114">
        <v>65</v>
      </c>
      <c r="F64" s="114">
        <v>60</v>
      </c>
      <c r="G64" s="116">
        <v>3</v>
      </c>
      <c r="H64" s="113" t="s">
        <v>268</v>
      </c>
      <c r="I64" s="42">
        <f>77*0.7</f>
        <v>53.9</v>
      </c>
      <c r="J64" s="42">
        <f>71.5*0.7</f>
        <v>50.05</v>
      </c>
      <c r="K64" s="42"/>
      <c r="L64" s="104"/>
    </row>
    <row r="65" spans="1:12" ht="32.25" customHeight="1" x14ac:dyDescent="0.25">
      <c r="A65" s="107" t="s">
        <v>321</v>
      </c>
      <c r="B65" s="111" t="s">
        <v>322</v>
      </c>
      <c r="C65" s="111"/>
      <c r="D65" s="42"/>
      <c r="E65" s="114"/>
      <c r="F65" s="114"/>
      <c r="G65" s="107" t="s">
        <v>321</v>
      </c>
      <c r="H65" s="111" t="s">
        <v>322</v>
      </c>
      <c r="I65" s="42"/>
      <c r="J65" s="42"/>
      <c r="K65" s="42"/>
      <c r="L65" s="104"/>
    </row>
    <row r="66" spans="1:12" ht="69" customHeight="1" x14ac:dyDescent="0.25">
      <c r="A66" s="116">
        <v>1</v>
      </c>
      <c r="B66" s="115" t="s">
        <v>323</v>
      </c>
      <c r="C66" s="115"/>
      <c r="D66" s="42">
        <v>300</v>
      </c>
      <c r="E66" s="114">
        <v>150</v>
      </c>
      <c r="F66" s="114">
        <v>80</v>
      </c>
      <c r="G66" s="116">
        <v>1</v>
      </c>
      <c r="H66" s="115" t="s">
        <v>323</v>
      </c>
      <c r="I66" s="42">
        <f>330*0.7</f>
        <v>230.99999999999997</v>
      </c>
      <c r="J66" s="42">
        <f>165*0.7</f>
        <v>115.49999999999999</v>
      </c>
      <c r="K66" s="42">
        <f>88*0.7</f>
        <v>61.599999999999994</v>
      </c>
      <c r="L66" s="104"/>
    </row>
    <row r="67" spans="1:12" ht="54.75" customHeight="1" x14ac:dyDescent="0.25">
      <c r="A67" s="116">
        <v>2</v>
      </c>
      <c r="B67" s="115" t="s">
        <v>324</v>
      </c>
      <c r="C67" s="115"/>
      <c r="D67" s="42">
        <v>220</v>
      </c>
      <c r="E67" s="114">
        <v>100</v>
      </c>
      <c r="F67" s="114">
        <v>75</v>
      </c>
      <c r="G67" s="116">
        <v>2</v>
      </c>
      <c r="H67" s="115" t="s">
        <v>324</v>
      </c>
      <c r="I67" s="42">
        <f>242*0.7</f>
        <v>169.39999999999998</v>
      </c>
      <c r="J67" s="42">
        <f>110*0.7</f>
        <v>77</v>
      </c>
      <c r="K67" s="42">
        <f>82.5*0.7</f>
        <v>57.749999999999993</v>
      </c>
      <c r="L67" s="104"/>
    </row>
    <row r="68" spans="1:12" ht="27.75" customHeight="1" x14ac:dyDescent="0.25">
      <c r="A68" s="116">
        <v>3</v>
      </c>
      <c r="B68" s="115" t="s">
        <v>320</v>
      </c>
      <c r="C68" s="115"/>
      <c r="D68" s="42">
        <v>130</v>
      </c>
      <c r="E68" s="114">
        <v>80</v>
      </c>
      <c r="F68" s="114">
        <v>70</v>
      </c>
      <c r="G68" s="116">
        <v>3</v>
      </c>
      <c r="H68" s="115" t="s">
        <v>320</v>
      </c>
      <c r="I68" s="42">
        <f>143*0.7</f>
        <v>100.1</v>
      </c>
      <c r="J68" s="42">
        <f>88*0.7</f>
        <v>61.599999999999994</v>
      </c>
      <c r="K68" s="42">
        <f>77*0.7</f>
        <v>53.9</v>
      </c>
      <c r="L68" s="104"/>
    </row>
    <row r="69" spans="1:12" ht="33" customHeight="1" x14ac:dyDescent="0.25">
      <c r="A69" s="116">
        <v>4</v>
      </c>
      <c r="B69" s="115" t="s">
        <v>288</v>
      </c>
      <c r="C69" s="115"/>
      <c r="D69" s="42">
        <v>70</v>
      </c>
      <c r="E69" s="114">
        <v>65</v>
      </c>
      <c r="F69" s="114">
        <v>60</v>
      </c>
      <c r="G69" s="116">
        <v>4</v>
      </c>
      <c r="H69" s="113" t="s">
        <v>268</v>
      </c>
      <c r="I69" s="42">
        <f>77*0.7</f>
        <v>53.9</v>
      </c>
      <c r="J69" s="42">
        <f>71.5*0.7</f>
        <v>50.05</v>
      </c>
      <c r="K69" s="42">
        <f>66*0.7</f>
        <v>46.199999999999996</v>
      </c>
      <c r="L69" s="104"/>
    </row>
    <row r="70" spans="1:12" ht="30.2" customHeight="1" x14ac:dyDescent="0.25">
      <c r="A70" s="107" t="s">
        <v>325</v>
      </c>
      <c r="B70" s="111" t="s">
        <v>326</v>
      </c>
      <c r="C70" s="111"/>
      <c r="D70" s="42"/>
      <c r="E70" s="114"/>
      <c r="F70" s="114"/>
      <c r="G70" s="107" t="s">
        <v>325</v>
      </c>
      <c r="H70" s="111" t="s">
        <v>326</v>
      </c>
      <c r="I70" s="42"/>
      <c r="J70" s="42"/>
      <c r="K70" s="42"/>
      <c r="L70" s="104"/>
    </row>
    <row r="71" spans="1:12" ht="42.75" customHeight="1" x14ac:dyDescent="0.25">
      <c r="A71" s="116">
        <v>1</v>
      </c>
      <c r="B71" s="115" t="s">
        <v>327</v>
      </c>
      <c r="C71" s="115"/>
      <c r="D71" s="42">
        <v>300</v>
      </c>
      <c r="E71" s="114">
        <v>160</v>
      </c>
      <c r="F71" s="114">
        <v>90</v>
      </c>
      <c r="G71" s="116">
        <v>1</v>
      </c>
      <c r="H71" s="115" t="s">
        <v>327</v>
      </c>
      <c r="I71" s="42">
        <f>330*0.7</f>
        <v>230.99999999999997</v>
      </c>
      <c r="J71" s="42">
        <f>176*0.7</f>
        <v>123.19999999999999</v>
      </c>
      <c r="K71" s="42">
        <f>99*0.7</f>
        <v>69.3</v>
      </c>
      <c r="L71" s="104"/>
    </row>
    <row r="72" spans="1:12" ht="42.75" customHeight="1" x14ac:dyDescent="0.25">
      <c r="A72" s="116">
        <v>2</v>
      </c>
      <c r="B72" s="115" t="s">
        <v>328</v>
      </c>
      <c r="C72" s="115"/>
      <c r="D72" s="42">
        <v>250</v>
      </c>
      <c r="E72" s="114">
        <v>120</v>
      </c>
      <c r="F72" s="114">
        <v>70</v>
      </c>
      <c r="G72" s="116">
        <v>2</v>
      </c>
      <c r="H72" s="115" t="s">
        <v>328</v>
      </c>
      <c r="I72" s="42">
        <f>275*0.7</f>
        <v>192.5</v>
      </c>
      <c r="J72" s="42">
        <f>132*0.7</f>
        <v>92.399999999999991</v>
      </c>
      <c r="K72" s="42">
        <f>77*0.7</f>
        <v>53.9</v>
      </c>
      <c r="L72" s="104"/>
    </row>
    <row r="73" spans="1:12" ht="32.25" customHeight="1" x14ac:dyDescent="0.25">
      <c r="A73" s="116">
        <v>3</v>
      </c>
      <c r="B73" s="115" t="s">
        <v>329</v>
      </c>
      <c r="C73" s="115"/>
      <c r="D73" s="42">
        <v>130</v>
      </c>
      <c r="E73" s="114">
        <v>80</v>
      </c>
      <c r="F73" s="114">
        <v>70</v>
      </c>
      <c r="G73" s="116">
        <v>3</v>
      </c>
      <c r="H73" s="115" t="s">
        <v>329</v>
      </c>
      <c r="I73" s="42">
        <f>143*0.7</f>
        <v>100.1</v>
      </c>
      <c r="J73" s="42">
        <f>88*0.7</f>
        <v>61.599999999999994</v>
      </c>
      <c r="K73" s="42">
        <f>77*0.7</f>
        <v>53.9</v>
      </c>
      <c r="L73" s="104"/>
    </row>
    <row r="74" spans="1:12" ht="30.75" customHeight="1" x14ac:dyDescent="0.25">
      <c r="A74" s="116">
        <v>4</v>
      </c>
      <c r="B74" s="115" t="s">
        <v>288</v>
      </c>
      <c r="C74" s="115"/>
      <c r="D74" s="42">
        <v>70</v>
      </c>
      <c r="E74" s="114">
        <v>65</v>
      </c>
      <c r="F74" s="114">
        <v>60</v>
      </c>
      <c r="G74" s="116">
        <v>4</v>
      </c>
      <c r="H74" s="113" t="s">
        <v>268</v>
      </c>
      <c r="I74" s="42">
        <f>77*0.7</f>
        <v>53.9</v>
      </c>
      <c r="J74" s="42">
        <f>71.5*0.7</f>
        <v>50.05</v>
      </c>
      <c r="K74" s="42">
        <f>66*0.7</f>
        <v>46.199999999999996</v>
      </c>
      <c r="L74" s="104"/>
    </row>
    <row r="75" spans="1:12" ht="26.25" customHeight="1" x14ac:dyDescent="0.25">
      <c r="A75" s="107" t="s">
        <v>330</v>
      </c>
      <c r="B75" s="111" t="s">
        <v>331</v>
      </c>
      <c r="C75" s="111"/>
      <c r="D75" s="42"/>
      <c r="E75" s="114"/>
      <c r="F75" s="114"/>
      <c r="G75" s="107" t="s">
        <v>330</v>
      </c>
      <c r="H75" s="111" t="s">
        <v>331</v>
      </c>
      <c r="I75" s="42"/>
      <c r="J75" s="42"/>
      <c r="K75" s="42"/>
      <c r="L75" s="104"/>
    </row>
    <row r="76" spans="1:12" ht="21" hidden="1" customHeight="1" x14ac:dyDescent="0.25">
      <c r="A76" s="116"/>
      <c r="B76" s="115"/>
      <c r="C76" s="115"/>
      <c r="D76" s="42"/>
      <c r="E76" s="114"/>
      <c r="F76" s="114"/>
      <c r="G76" s="116">
        <v>1</v>
      </c>
      <c r="H76" s="115" t="s">
        <v>332</v>
      </c>
      <c r="I76" s="42"/>
      <c r="J76" s="42"/>
      <c r="K76" s="42"/>
      <c r="L76" s="104"/>
    </row>
    <row r="77" spans="1:12" ht="21" hidden="1" customHeight="1" x14ac:dyDescent="0.25">
      <c r="A77" s="116"/>
      <c r="B77" s="115"/>
      <c r="C77" s="115"/>
      <c r="D77" s="42"/>
      <c r="E77" s="114"/>
      <c r="F77" s="114"/>
      <c r="G77" s="116"/>
      <c r="H77" s="115" t="s">
        <v>333</v>
      </c>
      <c r="I77" s="42"/>
      <c r="J77" s="42"/>
      <c r="K77" s="42"/>
      <c r="L77" s="104"/>
    </row>
    <row r="78" spans="1:12" ht="21" hidden="1" customHeight="1" x14ac:dyDescent="0.25">
      <c r="A78" s="116"/>
      <c r="B78" s="115"/>
      <c r="C78" s="115"/>
      <c r="D78" s="42"/>
      <c r="E78" s="114"/>
      <c r="F78" s="114"/>
      <c r="G78" s="116"/>
      <c r="H78" s="115" t="s">
        <v>334</v>
      </c>
      <c r="I78" s="42"/>
      <c r="J78" s="42"/>
      <c r="K78" s="42"/>
      <c r="L78" s="104"/>
    </row>
    <row r="79" spans="1:12" ht="21" hidden="1" customHeight="1" x14ac:dyDescent="0.25">
      <c r="A79" s="116"/>
      <c r="B79" s="115"/>
      <c r="C79" s="115"/>
      <c r="D79" s="42"/>
      <c r="E79" s="114"/>
      <c r="F79" s="114"/>
      <c r="G79" s="116"/>
      <c r="H79" s="115" t="s">
        <v>335</v>
      </c>
      <c r="I79" s="42"/>
      <c r="J79" s="42"/>
      <c r="K79" s="42"/>
      <c r="L79" s="104"/>
    </row>
    <row r="80" spans="1:12" ht="54.75" customHeight="1" x14ac:dyDescent="0.25">
      <c r="A80" s="116">
        <v>1</v>
      </c>
      <c r="B80" s="115" t="s">
        <v>336</v>
      </c>
      <c r="C80" s="115"/>
      <c r="D80" s="42">
        <v>250</v>
      </c>
      <c r="E80" s="114">
        <v>140</v>
      </c>
      <c r="F80" s="114">
        <v>80</v>
      </c>
      <c r="G80" s="116">
        <v>1</v>
      </c>
      <c r="H80" s="115" t="s">
        <v>337</v>
      </c>
      <c r="I80" s="42">
        <f>275*0.7</f>
        <v>192.5</v>
      </c>
      <c r="J80" s="42">
        <f>154*0.7</f>
        <v>107.8</v>
      </c>
      <c r="K80" s="42">
        <f>88*0.7</f>
        <v>61.599999999999994</v>
      </c>
      <c r="L80" s="104"/>
    </row>
    <row r="81" spans="1:12" ht="57.75" customHeight="1" x14ac:dyDescent="0.25">
      <c r="A81" s="116">
        <v>2</v>
      </c>
      <c r="B81" s="115" t="s">
        <v>338</v>
      </c>
      <c r="C81" s="115"/>
      <c r="D81" s="42">
        <v>160</v>
      </c>
      <c r="E81" s="114">
        <v>90</v>
      </c>
      <c r="F81" s="114">
        <v>75</v>
      </c>
      <c r="G81" s="116">
        <v>2</v>
      </c>
      <c r="H81" s="115" t="s">
        <v>338</v>
      </c>
      <c r="I81" s="42">
        <f>176*0.7</f>
        <v>123.19999999999999</v>
      </c>
      <c r="J81" s="42">
        <f>99*0.7</f>
        <v>69.3</v>
      </c>
      <c r="K81" s="42">
        <f>82.5*0.7</f>
        <v>57.749999999999993</v>
      </c>
      <c r="L81" s="104"/>
    </row>
    <row r="82" spans="1:12" ht="30.75" customHeight="1" x14ac:dyDescent="0.25">
      <c r="A82" s="116">
        <v>3</v>
      </c>
      <c r="B82" s="115" t="s">
        <v>329</v>
      </c>
      <c r="C82" s="115"/>
      <c r="D82" s="42">
        <v>130</v>
      </c>
      <c r="E82" s="114">
        <v>80</v>
      </c>
      <c r="F82" s="114">
        <v>70</v>
      </c>
      <c r="G82" s="116">
        <v>3</v>
      </c>
      <c r="H82" s="115" t="s">
        <v>329</v>
      </c>
      <c r="I82" s="42">
        <f>143*0.7</f>
        <v>100.1</v>
      </c>
      <c r="J82" s="42">
        <f>88*0.7</f>
        <v>61.599999999999994</v>
      </c>
      <c r="K82" s="42">
        <f>77*0.7</f>
        <v>53.9</v>
      </c>
      <c r="L82" s="104"/>
    </row>
    <row r="83" spans="1:12" ht="31.5" customHeight="1" x14ac:dyDescent="0.25">
      <c r="A83" s="116">
        <v>4</v>
      </c>
      <c r="B83" s="115" t="s">
        <v>288</v>
      </c>
      <c r="C83" s="115"/>
      <c r="D83" s="42">
        <v>70</v>
      </c>
      <c r="E83" s="114">
        <v>65</v>
      </c>
      <c r="F83" s="114">
        <v>60</v>
      </c>
      <c r="G83" s="116">
        <v>4</v>
      </c>
      <c r="H83" s="113" t="s">
        <v>268</v>
      </c>
      <c r="I83" s="42">
        <f>77*0.7</f>
        <v>53.9</v>
      </c>
      <c r="J83" s="42">
        <f>71.5*0.7</f>
        <v>50.05</v>
      </c>
      <c r="K83" s="42">
        <f>66*0.7</f>
        <v>46.199999999999996</v>
      </c>
      <c r="L83" s="104"/>
    </row>
    <row r="84" spans="1:12" ht="27" customHeight="1" x14ac:dyDescent="0.25">
      <c r="A84" s="107" t="s">
        <v>339</v>
      </c>
      <c r="B84" s="111" t="s">
        <v>340</v>
      </c>
      <c r="C84" s="111"/>
      <c r="D84" s="42"/>
      <c r="E84" s="114"/>
      <c r="F84" s="114"/>
      <c r="G84" s="107" t="s">
        <v>339</v>
      </c>
      <c r="H84" s="111" t="s">
        <v>340</v>
      </c>
      <c r="I84" s="42"/>
      <c r="J84" s="42"/>
      <c r="K84" s="42"/>
      <c r="L84" s="104"/>
    </row>
    <row r="85" spans="1:12" ht="69.75" customHeight="1" x14ac:dyDescent="0.25">
      <c r="A85" s="116">
        <v>1</v>
      </c>
      <c r="B85" s="115" t="s">
        <v>341</v>
      </c>
      <c r="C85" s="115"/>
      <c r="D85" s="42">
        <v>280</v>
      </c>
      <c r="E85" s="114">
        <v>150</v>
      </c>
      <c r="F85" s="114">
        <v>80</v>
      </c>
      <c r="G85" s="116">
        <v>1</v>
      </c>
      <c r="H85" s="115" t="s">
        <v>341</v>
      </c>
      <c r="I85" s="42">
        <f>308*0.7</f>
        <v>215.6</v>
      </c>
      <c r="J85" s="42">
        <f>165*0.7</f>
        <v>115.49999999999999</v>
      </c>
      <c r="K85" s="42">
        <f>88*0.7</f>
        <v>61.599999999999994</v>
      </c>
      <c r="L85" s="104"/>
    </row>
    <row r="86" spans="1:12" ht="29.25" customHeight="1" x14ac:dyDescent="0.25">
      <c r="A86" s="116">
        <v>2</v>
      </c>
      <c r="B86" s="115" t="s">
        <v>329</v>
      </c>
      <c r="C86" s="115"/>
      <c r="D86" s="42">
        <v>130</v>
      </c>
      <c r="E86" s="114">
        <v>80</v>
      </c>
      <c r="F86" s="114">
        <v>70</v>
      </c>
      <c r="G86" s="116">
        <v>2</v>
      </c>
      <c r="H86" s="115" t="s">
        <v>329</v>
      </c>
      <c r="I86" s="42">
        <f>143*0.7</f>
        <v>100.1</v>
      </c>
      <c r="J86" s="42">
        <f>88*0.7</f>
        <v>61.599999999999994</v>
      </c>
      <c r="K86" s="42">
        <f>77*0.7</f>
        <v>53.9</v>
      </c>
      <c r="L86" s="104"/>
    </row>
    <row r="87" spans="1:12" ht="60" customHeight="1" x14ac:dyDescent="0.25">
      <c r="A87" s="116">
        <v>3</v>
      </c>
      <c r="B87" s="113" t="s">
        <v>342</v>
      </c>
      <c r="C87" s="113"/>
      <c r="D87" s="42">
        <v>140</v>
      </c>
      <c r="E87" s="114">
        <v>90</v>
      </c>
      <c r="F87" s="114">
        <v>70</v>
      </c>
      <c r="G87" s="116">
        <v>3</v>
      </c>
      <c r="H87" s="113" t="s">
        <v>342</v>
      </c>
      <c r="I87" s="42">
        <f>154*0.7</f>
        <v>107.8</v>
      </c>
      <c r="J87" s="42">
        <f>99*0.7</f>
        <v>69.3</v>
      </c>
      <c r="K87" s="42">
        <f>77*0.7</f>
        <v>53.9</v>
      </c>
      <c r="L87" s="104"/>
    </row>
    <row r="88" spans="1:12" ht="177" customHeight="1" x14ac:dyDescent="0.25">
      <c r="A88" s="116">
        <v>4</v>
      </c>
      <c r="B88" s="113" t="s">
        <v>343</v>
      </c>
      <c r="C88" s="113"/>
      <c r="D88" s="42">
        <v>160</v>
      </c>
      <c r="E88" s="114">
        <v>100</v>
      </c>
      <c r="F88" s="114">
        <v>80</v>
      </c>
      <c r="G88" s="116">
        <v>4</v>
      </c>
      <c r="H88" s="113" t="s">
        <v>343</v>
      </c>
      <c r="I88" s="42">
        <f>176*0.7</f>
        <v>123.19999999999999</v>
      </c>
      <c r="J88" s="42">
        <f>110*0.7</f>
        <v>77</v>
      </c>
      <c r="K88" s="42">
        <f>88*0.7</f>
        <v>61.599999999999994</v>
      </c>
      <c r="L88" s="104"/>
    </row>
    <row r="89" spans="1:12" ht="30" customHeight="1" x14ac:dyDescent="0.25">
      <c r="A89" s="116">
        <v>5</v>
      </c>
      <c r="B89" s="115" t="s">
        <v>267</v>
      </c>
      <c r="C89" s="115"/>
      <c r="D89" s="42">
        <v>70</v>
      </c>
      <c r="E89" s="114">
        <v>65</v>
      </c>
      <c r="F89" s="114">
        <v>60</v>
      </c>
      <c r="G89" s="116">
        <v>5</v>
      </c>
      <c r="H89" s="113" t="s">
        <v>268</v>
      </c>
      <c r="I89" s="42">
        <f>77*0.7</f>
        <v>53.9</v>
      </c>
      <c r="J89" s="42">
        <f>71.5*0.7</f>
        <v>50.05</v>
      </c>
      <c r="K89" s="42">
        <f>66*0.7</f>
        <v>46.199999999999996</v>
      </c>
      <c r="L89" s="104"/>
    </row>
    <row r="90" spans="1:12" ht="29.25" customHeight="1" x14ac:dyDescent="0.25">
      <c r="A90" s="119" t="s">
        <v>344</v>
      </c>
      <c r="B90" s="111" t="s">
        <v>345</v>
      </c>
      <c r="C90" s="111"/>
      <c r="D90" s="42"/>
      <c r="E90" s="114"/>
      <c r="F90" s="114"/>
      <c r="G90" s="119" t="s">
        <v>344</v>
      </c>
      <c r="H90" s="111" t="s">
        <v>345</v>
      </c>
      <c r="I90" s="42"/>
      <c r="J90" s="42"/>
      <c r="K90" s="42"/>
      <c r="L90" s="104"/>
    </row>
    <row r="91" spans="1:12" ht="48" customHeight="1" x14ac:dyDescent="0.25">
      <c r="A91" s="116">
        <v>1</v>
      </c>
      <c r="B91" s="115" t="s">
        <v>346</v>
      </c>
      <c r="C91" s="115"/>
      <c r="D91" s="42">
        <v>330</v>
      </c>
      <c r="E91" s="114">
        <v>190</v>
      </c>
      <c r="F91" s="114">
        <v>130</v>
      </c>
      <c r="G91" s="116">
        <v>1</v>
      </c>
      <c r="H91" s="115" t="s">
        <v>346</v>
      </c>
      <c r="I91" s="42">
        <f>363*0.7</f>
        <v>254.1</v>
      </c>
      <c r="J91" s="42">
        <f>209*0.7</f>
        <v>146.29999999999998</v>
      </c>
      <c r="K91" s="42">
        <f>143*0.7</f>
        <v>100.1</v>
      </c>
      <c r="L91" s="104"/>
    </row>
    <row r="92" spans="1:12" ht="33" customHeight="1" x14ac:dyDescent="0.25">
      <c r="A92" s="116">
        <v>2</v>
      </c>
      <c r="B92" s="115" t="s">
        <v>320</v>
      </c>
      <c r="C92" s="115"/>
      <c r="D92" s="42">
        <v>190</v>
      </c>
      <c r="E92" s="114">
        <v>150</v>
      </c>
      <c r="F92" s="114">
        <v>70</v>
      </c>
      <c r="G92" s="116">
        <v>2</v>
      </c>
      <c r="H92" s="115" t="s">
        <v>320</v>
      </c>
      <c r="I92" s="42">
        <f>209*0.7</f>
        <v>146.29999999999998</v>
      </c>
      <c r="J92" s="42">
        <f>165*0.7</f>
        <v>115.49999999999999</v>
      </c>
      <c r="K92" s="42">
        <f>77*0.7</f>
        <v>53.9</v>
      </c>
      <c r="L92" s="104"/>
    </row>
    <row r="93" spans="1:12" ht="31.5" customHeight="1" x14ac:dyDescent="0.25">
      <c r="A93" s="116">
        <v>3</v>
      </c>
      <c r="B93" s="115" t="s">
        <v>288</v>
      </c>
      <c r="C93" s="115"/>
      <c r="D93" s="42">
        <v>75</v>
      </c>
      <c r="E93" s="114">
        <v>70</v>
      </c>
      <c r="F93" s="114">
        <v>60</v>
      </c>
      <c r="G93" s="116">
        <v>3</v>
      </c>
      <c r="H93" s="113" t="s">
        <v>268</v>
      </c>
      <c r="I93" s="42">
        <f>82.5*0.7</f>
        <v>57.749999999999993</v>
      </c>
      <c r="J93" s="42">
        <f>77*0.7</f>
        <v>53.9</v>
      </c>
      <c r="K93" s="42">
        <f>66*0.7</f>
        <v>46.199999999999996</v>
      </c>
      <c r="L93" s="104"/>
    </row>
    <row r="94" spans="1:12" ht="33" customHeight="1" x14ac:dyDescent="0.25">
      <c r="A94" s="116">
        <v>4</v>
      </c>
      <c r="B94" s="113" t="s">
        <v>347</v>
      </c>
      <c r="C94" s="113"/>
      <c r="D94" s="42">
        <v>100</v>
      </c>
      <c r="E94" s="114">
        <v>90</v>
      </c>
      <c r="F94" s="114">
        <v>80</v>
      </c>
      <c r="G94" s="116">
        <v>4</v>
      </c>
      <c r="H94" s="113" t="s">
        <v>347</v>
      </c>
      <c r="I94" s="42">
        <f>110*0.7</f>
        <v>77</v>
      </c>
      <c r="J94" s="42">
        <f>99*0.7</f>
        <v>69.3</v>
      </c>
      <c r="K94" s="42">
        <f>88*0.7</f>
        <v>61.599999999999994</v>
      </c>
      <c r="L94" s="104"/>
    </row>
    <row r="95" spans="1:12" ht="50.25" customHeight="1" x14ac:dyDescent="0.25">
      <c r="A95" s="112">
        <v>5</v>
      </c>
      <c r="B95" s="115" t="s">
        <v>348</v>
      </c>
      <c r="C95" s="115"/>
      <c r="D95" s="42">
        <v>100</v>
      </c>
      <c r="E95" s="114">
        <v>90</v>
      </c>
      <c r="F95" s="114">
        <v>80</v>
      </c>
      <c r="G95" s="112">
        <v>5</v>
      </c>
      <c r="H95" s="115" t="s">
        <v>348</v>
      </c>
      <c r="I95" s="42">
        <f>110*0.7</f>
        <v>77</v>
      </c>
      <c r="J95" s="42">
        <f>99*0.7</f>
        <v>69.3</v>
      </c>
      <c r="K95" s="42">
        <f>88*0.7</f>
        <v>61.599999999999994</v>
      </c>
      <c r="L95" s="104"/>
    </row>
    <row r="96" spans="1:12" ht="25.5" customHeight="1" x14ac:dyDescent="0.25"/>
    <row r="97" spans="1:8" ht="25.5" customHeight="1" x14ac:dyDescent="0.25"/>
    <row r="98" spans="1:8" ht="25.5" customHeight="1" x14ac:dyDescent="0.25">
      <c r="A98" s="41"/>
      <c r="B98" s="8"/>
      <c r="C98" s="8"/>
      <c r="G98" s="41"/>
      <c r="H98" s="8"/>
    </row>
    <row r="99" spans="1:8" ht="25.5" customHeight="1" x14ac:dyDescent="0.25">
      <c r="A99" s="41"/>
      <c r="B99" s="8"/>
      <c r="C99" s="8"/>
      <c r="G99" s="41"/>
      <c r="H99" s="8"/>
    </row>
    <row r="100" spans="1:8" ht="25.5" customHeight="1" x14ac:dyDescent="0.25"/>
    <row r="101" spans="1:8" ht="25.5" customHeight="1" x14ac:dyDescent="0.25"/>
    <row r="102" spans="1:8" ht="25.5" customHeight="1" x14ac:dyDescent="0.25"/>
    <row r="103" spans="1:8" ht="25.5" customHeight="1" x14ac:dyDescent="0.25"/>
    <row r="104" spans="1:8" ht="25.5" customHeight="1" x14ac:dyDescent="0.25"/>
    <row r="105" spans="1:8" ht="25.5" customHeight="1" x14ac:dyDescent="0.25"/>
    <row r="106" spans="1:8" ht="25.5" customHeight="1" x14ac:dyDescent="0.25"/>
    <row r="107" spans="1:8" ht="25.5" customHeight="1" x14ac:dyDescent="0.25"/>
    <row r="108" spans="1:8" ht="25.5" customHeight="1" x14ac:dyDescent="0.25"/>
    <row r="109" spans="1:8" ht="25.5" customHeight="1" x14ac:dyDescent="0.25"/>
    <row r="110" spans="1:8" ht="25.5" customHeight="1" x14ac:dyDescent="0.25"/>
    <row r="111" spans="1:8" ht="25.5" customHeight="1" x14ac:dyDescent="0.25"/>
    <row r="112" spans="1:8" ht="25.5" customHeight="1" x14ac:dyDescent="0.25"/>
    <row r="113" ht="25.5" customHeight="1" x14ac:dyDescent="0.25"/>
    <row r="114" ht="25.5" customHeight="1" x14ac:dyDescent="0.25"/>
    <row r="115" ht="25.5" customHeight="1" x14ac:dyDescent="0.25"/>
    <row r="116" ht="25.5" customHeight="1" x14ac:dyDescent="0.25"/>
    <row r="117" ht="25.5" customHeight="1" x14ac:dyDescent="0.25"/>
    <row r="118" ht="25.5" customHeight="1" x14ac:dyDescent="0.25"/>
    <row r="119" ht="25.5" customHeight="1" x14ac:dyDescent="0.25"/>
    <row r="120" ht="25.5" customHeight="1" x14ac:dyDescent="0.25"/>
    <row r="121" ht="25.5" customHeight="1" x14ac:dyDescent="0.25"/>
    <row r="122" ht="25.5" customHeight="1" x14ac:dyDescent="0.25"/>
    <row r="123" ht="25.5" customHeight="1" x14ac:dyDescent="0.25"/>
    <row r="124" ht="25.5" customHeight="1" x14ac:dyDescent="0.25"/>
    <row r="125" ht="25.5" customHeight="1" x14ac:dyDescent="0.25"/>
    <row r="126" ht="25.5" customHeight="1" x14ac:dyDescent="0.25"/>
    <row r="127" ht="25.5" customHeight="1" x14ac:dyDescent="0.25"/>
    <row r="128" ht="25.5" customHeight="1" x14ac:dyDescent="0.25"/>
    <row r="129" ht="25.5" customHeight="1" x14ac:dyDescent="0.25"/>
    <row r="130" ht="25.5" customHeight="1" x14ac:dyDescent="0.25"/>
    <row r="131" ht="25.5" customHeight="1" x14ac:dyDescent="0.25"/>
    <row r="132" ht="25.5" customHeight="1" x14ac:dyDescent="0.25"/>
    <row r="133" ht="25.5" customHeight="1" x14ac:dyDescent="0.25"/>
    <row r="134" ht="25.5" customHeight="1" x14ac:dyDescent="0.25"/>
    <row r="135" ht="25.5" customHeight="1" x14ac:dyDescent="0.25"/>
    <row r="136" ht="25.5" customHeight="1" x14ac:dyDescent="0.25"/>
    <row r="137" ht="25.5" customHeight="1" x14ac:dyDescent="0.25"/>
    <row r="138" ht="25.5" customHeight="1" x14ac:dyDescent="0.25"/>
    <row r="139" ht="25.5" customHeight="1" x14ac:dyDescent="0.25"/>
    <row r="140" ht="25.5" customHeight="1" x14ac:dyDescent="0.25"/>
    <row r="141" ht="25.5" customHeight="1" x14ac:dyDescent="0.25"/>
    <row r="142" ht="25.5" customHeight="1" x14ac:dyDescent="0.25"/>
    <row r="143" ht="25.5" customHeight="1" x14ac:dyDescent="0.25"/>
    <row r="144" ht="25.5" customHeight="1" x14ac:dyDescent="0.25"/>
    <row r="145" ht="25.5" customHeight="1" x14ac:dyDescent="0.25"/>
    <row r="146" ht="25.5" customHeight="1" x14ac:dyDescent="0.25"/>
    <row r="147" ht="25.5" customHeight="1" x14ac:dyDescent="0.25"/>
    <row r="148" ht="25.5" customHeight="1" x14ac:dyDescent="0.25"/>
    <row r="149" ht="25.5" customHeight="1" x14ac:dyDescent="0.25"/>
    <row r="150" ht="25.5" customHeight="1" x14ac:dyDescent="0.25"/>
    <row r="151" ht="25.5" customHeight="1" x14ac:dyDescent="0.25"/>
    <row r="152" ht="25.5" customHeight="1" x14ac:dyDescent="0.25"/>
    <row r="153" ht="25.5" customHeight="1" x14ac:dyDescent="0.25"/>
    <row r="154" ht="25.5" customHeight="1" x14ac:dyDescent="0.25"/>
    <row r="155" ht="25.5" customHeight="1" x14ac:dyDescent="0.25"/>
    <row r="156" ht="25.5" customHeight="1" x14ac:dyDescent="0.25"/>
    <row r="157" ht="25.5" customHeight="1" x14ac:dyDescent="0.25"/>
    <row r="158" ht="25.5" customHeight="1" x14ac:dyDescent="0.25"/>
    <row r="159" ht="25.5" customHeight="1" x14ac:dyDescent="0.25"/>
    <row r="160"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sheetData>
  <autoFilter ref="A6:WVQ95"/>
  <mergeCells count="7">
    <mergeCell ref="A1:F1"/>
    <mergeCell ref="G1:K1"/>
    <mergeCell ref="D2:F2"/>
    <mergeCell ref="G3:G4"/>
    <mergeCell ref="H3:H4"/>
    <mergeCell ref="I3:K3"/>
    <mergeCell ref="H2:K2"/>
  </mergeCells>
  <pageMargins left="0.28740157500000002" right="0.19055118110236199" top="0.49055118110236201" bottom="0.19055118110236199" header="0.118110236220472" footer="0.118110236220472"/>
  <pageSetup scale="95" firstPageNumber="21" orientation="portrait"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topLeftCell="I1" zoomScale="80" zoomScaleNormal="80" zoomScalePageLayoutView="115" workbookViewId="0">
      <selection activeCell="T11" sqref="T11"/>
    </sheetView>
  </sheetViews>
  <sheetFormatPr defaultRowHeight="16.5" x14ac:dyDescent="0.25"/>
  <cols>
    <col min="1" max="1" width="0" style="142" hidden="1" customWidth="1"/>
    <col min="2" max="2" width="53.85546875" style="120" hidden="1" customWidth="1"/>
    <col min="3" max="3" width="11.5703125" style="142" hidden="1" customWidth="1"/>
    <col min="4" max="4" width="11.42578125" style="142" hidden="1" customWidth="1"/>
    <col min="5" max="8" width="10.85546875" style="142" hidden="1" customWidth="1"/>
    <col min="9" max="9" width="8.85546875" style="142" customWidth="1"/>
    <col min="10" max="10" width="58" style="120" customWidth="1"/>
    <col min="11" max="12" width="0" style="142" hidden="1" customWidth="1"/>
    <col min="13" max="13" width="0.28515625" style="142" hidden="1" customWidth="1"/>
    <col min="14" max="14" width="14.140625" style="142" customWidth="1"/>
    <col min="15" max="15" width="14.28515625" style="142" customWidth="1"/>
    <col min="16" max="16" width="15.7109375" style="142" customWidth="1"/>
    <col min="17" max="19" width="0" style="142" hidden="1" customWidth="1"/>
    <col min="20" max="20" width="38" style="120" customWidth="1"/>
    <col min="21" max="257" width="9.140625" style="120"/>
    <col min="258" max="258" width="53.85546875" style="120" customWidth="1"/>
    <col min="259" max="259" width="11.5703125" style="120" customWidth="1"/>
    <col min="260" max="260" width="11.42578125" style="120" customWidth="1"/>
    <col min="261" max="264" width="10.85546875" style="120" customWidth="1"/>
    <col min="265" max="265" width="9.140625" style="120"/>
    <col min="266" max="266" width="49.85546875" style="120" customWidth="1"/>
    <col min="267" max="275" width="9.140625" style="120"/>
    <col min="276" max="276" width="38" style="120" customWidth="1"/>
    <col min="277" max="513" width="9.140625" style="120"/>
    <col min="514" max="514" width="53.85546875" style="120" customWidth="1"/>
    <col min="515" max="515" width="11.5703125" style="120" customWidth="1"/>
    <col min="516" max="516" width="11.42578125" style="120" customWidth="1"/>
    <col min="517" max="520" width="10.85546875" style="120" customWidth="1"/>
    <col min="521" max="521" width="9.140625" style="120"/>
    <col min="522" max="522" width="49.85546875" style="120" customWidth="1"/>
    <col min="523" max="531" width="9.140625" style="120"/>
    <col min="532" max="532" width="38" style="120" customWidth="1"/>
    <col min="533" max="769" width="9.140625" style="120"/>
    <col min="770" max="770" width="53.85546875" style="120" customWidth="1"/>
    <col min="771" max="771" width="11.5703125" style="120" customWidth="1"/>
    <col min="772" max="772" width="11.42578125" style="120" customWidth="1"/>
    <col min="773" max="776" width="10.85546875" style="120" customWidth="1"/>
    <col min="777" max="777" width="9.140625" style="120"/>
    <col min="778" max="778" width="49.85546875" style="120" customWidth="1"/>
    <col min="779" max="787" width="9.140625" style="120"/>
    <col min="788" max="788" width="38" style="120" customWidth="1"/>
    <col min="789" max="1025" width="9.140625" style="120"/>
    <col min="1026" max="1026" width="53.85546875" style="120" customWidth="1"/>
    <col min="1027" max="1027" width="11.5703125" style="120" customWidth="1"/>
    <col min="1028" max="1028" width="11.42578125" style="120" customWidth="1"/>
    <col min="1029" max="1032" width="10.85546875" style="120" customWidth="1"/>
    <col min="1033" max="1033" width="9.140625" style="120"/>
    <col min="1034" max="1034" width="49.85546875" style="120" customWidth="1"/>
    <col min="1035" max="1043" width="9.140625" style="120"/>
    <col min="1044" max="1044" width="38" style="120" customWidth="1"/>
    <col min="1045" max="1281" width="9.140625" style="120"/>
    <col min="1282" max="1282" width="53.85546875" style="120" customWidth="1"/>
    <col min="1283" max="1283" width="11.5703125" style="120" customWidth="1"/>
    <col min="1284" max="1284" width="11.42578125" style="120" customWidth="1"/>
    <col min="1285" max="1288" width="10.85546875" style="120" customWidth="1"/>
    <col min="1289" max="1289" width="9.140625" style="120"/>
    <col min="1290" max="1290" width="49.85546875" style="120" customWidth="1"/>
    <col min="1291" max="1299" width="9.140625" style="120"/>
    <col min="1300" max="1300" width="38" style="120" customWidth="1"/>
    <col min="1301" max="1537" width="9.140625" style="120"/>
    <col min="1538" max="1538" width="53.85546875" style="120" customWidth="1"/>
    <col min="1539" max="1539" width="11.5703125" style="120" customWidth="1"/>
    <col min="1540" max="1540" width="11.42578125" style="120" customWidth="1"/>
    <col min="1541" max="1544" width="10.85546875" style="120" customWidth="1"/>
    <col min="1545" max="1545" width="9.140625" style="120"/>
    <col min="1546" max="1546" width="49.85546875" style="120" customWidth="1"/>
    <col min="1547" max="1555" width="9.140625" style="120"/>
    <col min="1556" max="1556" width="38" style="120" customWidth="1"/>
    <col min="1557" max="1793" width="9.140625" style="120"/>
    <col min="1794" max="1794" width="53.85546875" style="120" customWidth="1"/>
    <col min="1795" max="1795" width="11.5703125" style="120" customWidth="1"/>
    <col min="1796" max="1796" width="11.42578125" style="120" customWidth="1"/>
    <col min="1797" max="1800" width="10.85546875" style="120" customWidth="1"/>
    <col min="1801" max="1801" width="9.140625" style="120"/>
    <col min="1802" max="1802" width="49.85546875" style="120" customWidth="1"/>
    <col min="1803" max="1811" width="9.140625" style="120"/>
    <col min="1812" max="1812" width="38" style="120" customWidth="1"/>
    <col min="1813" max="2049" width="9.140625" style="120"/>
    <col min="2050" max="2050" width="53.85546875" style="120" customWidth="1"/>
    <col min="2051" max="2051" width="11.5703125" style="120" customWidth="1"/>
    <col min="2052" max="2052" width="11.42578125" style="120" customWidth="1"/>
    <col min="2053" max="2056" width="10.85546875" style="120" customWidth="1"/>
    <col min="2057" max="2057" width="9.140625" style="120"/>
    <col min="2058" max="2058" width="49.85546875" style="120" customWidth="1"/>
    <col min="2059" max="2067" width="9.140625" style="120"/>
    <col min="2068" max="2068" width="38" style="120" customWidth="1"/>
    <col min="2069" max="2305" width="9.140625" style="120"/>
    <col min="2306" max="2306" width="53.85546875" style="120" customWidth="1"/>
    <col min="2307" max="2307" width="11.5703125" style="120" customWidth="1"/>
    <col min="2308" max="2308" width="11.42578125" style="120" customWidth="1"/>
    <col min="2309" max="2312" width="10.85546875" style="120" customWidth="1"/>
    <col min="2313" max="2313" width="9.140625" style="120"/>
    <col min="2314" max="2314" width="49.85546875" style="120" customWidth="1"/>
    <col min="2315" max="2323" width="9.140625" style="120"/>
    <col min="2324" max="2324" width="38" style="120" customWidth="1"/>
    <col min="2325" max="2561" width="9.140625" style="120"/>
    <col min="2562" max="2562" width="53.85546875" style="120" customWidth="1"/>
    <col min="2563" max="2563" width="11.5703125" style="120" customWidth="1"/>
    <col min="2564" max="2564" width="11.42578125" style="120" customWidth="1"/>
    <col min="2565" max="2568" width="10.85546875" style="120" customWidth="1"/>
    <col min="2569" max="2569" width="9.140625" style="120"/>
    <col min="2570" max="2570" width="49.85546875" style="120" customWidth="1"/>
    <col min="2571" max="2579" width="9.140625" style="120"/>
    <col min="2580" max="2580" width="38" style="120" customWidth="1"/>
    <col min="2581" max="2817" width="9.140625" style="120"/>
    <col min="2818" max="2818" width="53.85546875" style="120" customWidth="1"/>
    <col min="2819" max="2819" width="11.5703125" style="120" customWidth="1"/>
    <col min="2820" max="2820" width="11.42578125" style="120" customWidth="1"/>
    <col min="2821" max="2824" width="10.85546875" style="120" customWidth="1"/>
    <col min="2825" max="2825" width="9.140625" style="120"/>
    <col min="2826" max="2826" width="49.85546875" style="120" customWidth="1"/>
    <col min="2827" max="2835" width="9.140625" style="120"/>
    <col min="2836" max="2836" width="38" style="120" customWidth="1"/>
    <col min="2837" max="3073" width="9.140625" style="120"/>
    <col min="3074" max="3074" width="53.85546875" style="120" customWidth="1"/>
    <col min="3075" max="3075" width="11.5703125" style="120" customWidth="1"/>
    <col min="3076" max="3076" width="11.42578125" style="120" customWidth="1"/>
    <col min="3077" max="3080" width="10.85546875" style="120" customWidth="1"/>
    <col min="3081" max="3081" width="9.140625" style="120"/>
    <col min="3082" max="3082" width="49.85546875" style="120" customWidth="1"/>
    <col min="3083" max="3091" width="9.140625" style="120"/>
    <col min="3092" max="3092" width="38" style="120" customWidth="1"/>
    <col min="3093" max="3329" width="9.140625" style="120"/>
    <col min="3330" max="3330" width="53.85546875" style="120" customWidth="1"/>
    <col min="3331" max="3331" width="11.5703125" style="120" customWidth="1"/>
    <col min="3332" max="3332" width="11.42578125" style="120" customWidth="1"/>
    <col min="3333" max="3336" width="10.85546875" style="120" customWidth="1"/>
    <col min="3337" max="3337" width="9.140625" style="120"/>
    <col min="3338" max="3338" width="49.85546875" style="120" customWidth="1"/>
    <col min="3339" max="3347" width="9.140625" style="120"/>
    <col min="3348" max="3348" width="38" style="120" customWidth="1"/>
    <col min="3349" max="3585" width="9.140625" style="120"/>
    <col min="3586" max="3586" width="53.85546875" style="120" customWidth="1"/>
    <col min="3587" max="3587" width="11.5703125" style="120" customWidth="1"/>
    <col min="3588" max="3588" width="11.42578125" style="120" customWidth="1"/>
    <col min="3589" max="3592" width="10.85546875" style="120" customWidth="1"/>
    <col min="3593" max="3593" width="9.140625" style="120"/>
    <col min="3594" max="3594" width="49.85546875" style="120" customWidth="1"/>
    <col min="3595" max="3603" width="9.140625" style="120"/>
    <col min="3604" max="3604" width="38" style="120" customWidth="1"/>
    <col min="3605" max="3841" width="9.140625" style="120"/>
    <col min="3842" max="3842" width="53.85546875" style="120" customWidth="1"/>
    <col min="3843" max="3843" width="11.5703125" style="120" customWidth="1"/>
    <col min="3844" max="3844" width="11.42578125" style="120" customWidth="1"/>
    <col min="3845" max="3848" width="10.85546875" style="120" customWidth="1"/>
    <col min="3849" max="3849" width="9.140625" style="120"/>
    <col min="3850" max="3850" width="49.85546875" style="120" customWidth="1"/>
    <col min="3851" max="3859" width="9.140625" style="120"/>
    <col min="3860" max="3860" width="38" style="120" customWidth="1"/>
    <col min="3861" max="4097" width="9.140625" style="120"/>
    <col min="4098" max="4098" width="53.85546875" style="120" customWidth="1"/>
    <col min="4099" max="4099" width="11.5703125" style="120" customWidth="1"/>
    <col min="4100" max="4100" width="11.42578125" style="120" customWidth="1"/>
    <col min="4101" max="4104" width="10.85546875" style="120" customWidth="1"/>
    <col min="4105" max="4105" width="9.140625" style="120"/>
    <col min="4106" max="4106" width="49.85546875" style="120" customWidth="1"/>
    <col min="4107" max="4115" width="9.140625" style="120"/>
    <col min="4116" max="4116" width="38" style="120" customWidth="1"/>
    <col min="4117" max="4353" width="9.140625" style="120"/>
    <col min="4354" max="4354" width="53.85546875" style="120" customWidth="1"/>
    <col min="4355" max="4355" width="11.5703125" style="120" customWidth="1"/>
    <col min="4356" max="4356" width="11.42578125" style="120" customWidth="1"/>
    <col min="4357" max="4360" width="10.85546875" style="120" customWidth="1"/>
    <col min="4361" max="4361" width="9.140625" style="120"/>
    <col min="4362" max="4362" width="49.85546875" style="120" customWidth="1"/>
    <col min="4363" max="4371" width="9.140625" style="120"/>
    <col min="4372" max="4372" width="38" style="120" customWidth="1"/>
    <col min="4373" max="4609" width="9.140625" style="120"/>
    <col min="4610" max="4610" width="53.85546875" style="120" customWidth="1"/>
    <col min="4611" max="4611" width="11.5703125" style="120" customWidth="1"/>
    <col min="4612" max="4612" width="11.42578125" style="120" customWidth="1"/>
    <col min="4613" max="4616" width="10.85546875" style="120" customWidth="1"/>
    <col min="4617" max="4617" width="9.140625" style="120"/>
    <col min="4618" max="4618" width="49.85546875" style="120" customWidth="1"/>
    <col min="4619" max="4627" width="9.140625" style="120"/>
    <col min="4628" max="4628" width="38" style="120" customWidth="1"/>
    <col min="4629" max="4865" width="9.140625" style="120"/>
    <col min="4866" max="4866" width="53.85546875" style="120" customWidth="1"/>
    <col min="4867" max="4867" width="11.5703125" style="120" customWidth="1"/>
    <col min="4868" max="4868" width="11.42578125" style="120" customWidth="1"/>
    <col min="4869" max="4872" width="10.85546875" style="120" customWidth="1"/>
    <col min="4873" max="4873" width="9.140625" style="120"/>
    <col min="4874" max="4874" width="49.85546875" style="120" customWidth="1"/>
    <col min="4875" max="4883" width="9.140625" style="120"/>
    <col min="4884" max="4884" width="38" style="120" customWidth="1"/>
    <col min="4885" max="5121" width="9.140625" style="120"/>
    <col min="5122" max="5122" width="53.85546875" style="120" customWidth="1"/>
    <col min="5123" max="5123" width="11.5703125" style="120" customWidth="1"/>
    <col min="5124" max="5124" width="11.42578125" style="120" customWidth="1"/>
    <col min="5125" max="5128" width="10.85546875" style="120" customWidth="1"/>
    <col min="5129" max="5129" width="9.140625" style="120"/>
    <col min="5130" max="5130" width="49.85546875" style="120" customWidth="1"/>
    <col min="5131" max="5139" width="9.140625" style="120"/>
    <col min="5140" max="5140" width="38" style="120" customWidth="1"/>
    <col min="5141" max="5377" width="9.140625" style="120"/>
    <col min="5378" max="5378" width="53.85546875" style="120" customWidth="1"/>
    <col min="5379" max="5379" width="11.5703125" style="120" customWidth="1"/>
    <col min="5380" max="5380" width="11.42578125" style="120" customWidth="1"/>
    <col min="5381" max="5384" width="10.85546875" style="120" customWidth="1"/>
    <col min="5385" max="5385" width="9.140625" style="120"/>
    <col min="5386" max="5386" width="49.85546875" style="120" customWidth="1"/>
    <col min="5387" max="5395" width="9.140625" style="120"/>
    <col min="5396" max="5396" width="38" style="120" customWidth="1"/>
    <col min="5397" max="5633" width="9.140625" style="120"/>
    <col min="5634" max="5634" width="53.85546875" style="120" customWidth="1"/>
    <col min="5635" max="5635" width="11.5703125" style="120" customWidth="1"/>
    <col min="5636" max="5636" width="11.42578125" style="120" customWidth="1"/>
    <col min="5637" max="5640" width="10.85546875" style="120" customWidth="1"/>
    <col min="5641" max="5641" width="9.140625" style="120"/>
    <col min="5642" max="5642" width="49.85546875" style="120" customWidth="1"/>
    <col min="5643" max="5651" width="9.140625" style="120"/>
    <col min="5652" max="5652" width="38" style="120" customWidth="1"/>
    <col min="5653" max="5889" width="9.140625" style="120"/>
    <col min="5890" max="5890" width="53.85546875" style="120" customWidth="1"/>
    <col min="5891" max="5891" width="11.5703125" style="120" customWidth="1"/>
    <col min="5892" max="5892" width="11.42578125" style="120" customWidth="1"/>
    <col min="5893" max="5896" width="10.85546875" style="120" customWidth="1"/>
    <col min="5897" max="5897" width="9.140625" style="120"/>
    <col min="5898" max="5898" width="49.85546875" style="120" customWidth="1"/>
    <col min="5899" max="5907" width="9.140625" style="120"/>
    <col min="5908" max="5908" width="38" style="120" customWidth="1"/>
    <col min="5909" max="6145" width="9.140625" style="120"/>
    <col min="6146" max="6146" width="53.85546875" style="120" customWidth="1"/>
    <col min="6147" max="6147" width="11.5703125" style="120" customWidth="1"/>
    <col min="6148" max="6148" width="11.42578125" style="120" customWidth="1"/>
    <col min="6149" max="6152" width="10.85546875" style="120" customWidth="1"/>
    <col min="6153" max="6153" width="9.140625" style="120"/>
    <col min="6154" max="6154" width="49.85546875" style="120" customWidth="1"/>
    <col min="6155" max="6163" width="9.140625" style="120"/>
    <col min="6164" max="6164" width="38" style="120" customWidth="1"/>
    <col min="6165" max="6401" width="9.140625" style="120"/>
    <col min="6402" max="6402" width="53.85546875" style="120" customWidth="1"/>
    <col min="6403" max="6403" width="11.5703125" style="120" customWidth="1"/>
    <col min="6404" max="6404" width="11.42578125" style="120" customWidth="1"/>
    <col min="6405" max="6408" width="10.85546875" style="120" customWidth="1"/>
    <col min="6409" max="6409" width="9.140625" style="120"/>
    <col min="6410" max="6410" width="49.85546875" style="120" customWidth="1"/>
    <col min="6411" max="6419" width="9.140625" style="120"/>
    <col min="6420" max="6420" width="38" style="120" customWidth="1"/>
    <col min="6421" max="6657" width="9.140625" style="120"/>
    <col min="6658" max="6658" width="53.85546875" style="120" customWidth="1"/>
    <col min="6659" max="6659" width="11.5703125" style="120" customWidth="1"/>
    <col min="6660" max="6660" width="11.42578125" style="120" customWidth="1"/>
    <col min="6661" max="6664" width="10.85546875" style="120" customWidth="1"/>
    <col min="6665" max="6665" width="9.140625" style="120"/>
    <col min="6666" max="6666" width="49.85546875" style="120" customWidth="1"/>
    <col min="6667" max="6675" width="9.140625" style="120"/>
    <col min="6676" max="6676" width="38" style="120" customWidth="1"/>
    <col min="6677" max="6913" width="9.140625" style="120"/>
    <col min="6914" max="6914" width="53.85546875" style="120" customWidth="1"/>
    <col min="6915" max="6915" width="11.5703125" style="120" customWidth="1"/>
    <col min="6916" max="6916" width="11.42578125" style="120" customWidth="1"/>
    <col min="6917" max="6920" width="10.85546875" style="120" customWidth="1"/>
    <col min="6921" max="6921" width="9.140625" style="120"/>
    <col min="6922" max="6922" width="49.85546875" style="120" customWidth="1"/>
    <col min="6923" max="6931" width="9.140625" style="120"/>
    <col min="6932" max="6932" width="38" style="120" customWidth="1"/>
    <col min="6933" max="7169" width="9.140625" style="120"/>
    <col min="7170" max="7170" width="53.85546875" style="120" customWidth="1"/>
    <col min="7171" max="7171" width="11.5703125" style="120" customWidth="1"/>
    <col min="7172" max="7172" width="11.42578125" style="120" customWidth="1"/>
    <col min="7173" max="7176" width="10.85546875" style="120" customWidth="1"/>
    <col min="7177" max="7177" width="9.140625" style="120"/>
    <col min="7178" max="7178" width="49.85546875" style="120" customWidth="1"/>
    <col min="7179" max="7187" width="9.140625" style="120"/>
    <col min="7188" max="7188" width="38" style="120" customWidth="1"/>
    <col min="7189" max="7425" width="9.140625" style="120"/>
    <col min="7426" max="7426" width="53.85546875" style="120" customWidth="1"/>
    <col min="7427" max="7427" width="11.5703125" style="120" customWidth="1"/>
    <col min="7428" max="7428" width="11.42578125" style="120" customWidth="1"/>
    <col min="7429" max="7432" width="10.85546875" style="120" customWidth="1"/>
    <col min="7433" max="7433" width="9.140625" style="120"/>
    <col min="7434" max="7434" width="49.85546875" style="120" customWidth="1"/>
    <col min="7435" max="7443" width="9.140625" style="120"/>
    <col min="7444" max="7444" width="38" style="120" customWidth="1"/>
    <col min="7445" max="7681" width="9.140625" style="120"/>
    <col min="7682" max="7682" width="53.85546875" style="120" customWidth="1"/>
    <col min="7683" max="7683" width="11.5703125" style="120" customWidth="1"/>
    <col min="7684" max="7684" width="11.42578125" style="120" customWidth="1"/>
    <col min="7685" max="7688" width="10.85546875" style="120" customWidth="1"/>
    <col min="7689" max="7689" width="9.140625" style="120"/>
    <col min="7690" max="7690" width="49.85546875" style="120" customWidth="1"/>
    <col min="7691" max="7699" width="9.140625" style="120"/>
    <col min="7700" max="7700" width="38" style="120" customWidth="1"/>
    <col min="7701" max="7937" width="9.140625" style="120"/>
    <col min="7938" max="7938" width="53.85546875" style="120" customWidth="1"/>
    <col min="7939" max="7939" width="11.5703125" style="120" customWidth="1"/>
    <col min="7940" max="7940" width="11.42578125" style="120" customWidth="1"/>
    <col min="7941" max="7944" width="10.85546875" style="120" customWidth="1"/>
    <col min="7945" max="7945" width="9.140625" style="120"/>
    <col min="7946" max="7946" width="49.85546875" style="120" customWidth="1"/>
    <col min="7947" max="7955" width="9.140625" style="120"/>
    <col min="7956" max="7956" width="38" style="120" customWidth="1"/>
    <col min="7957" max="8193" width="9.140625" style="120"/>
    <col min="8194" max="8194" width="53.85546875" style="120" customWidth="1"/>
    <col min="8195" max="8195" width="11.5703125" style="120" customWidth="1"/>
    <col min="8196" max="8196" width="11.42578125" style="120" customWidth="1"/>
    <col min="8197" max="8200" width="10.85546875" style="120" customWidth="1"/>
    <col min="8201" max="8201" width="9.140625" style="120"/>
    <col min="8202" max="8202" width="49.85546875" style="120" customWidth="1"/>
    <col min="8203" max="8211" width="9.140625" style="120"/>
    <col min="8212" max="8212" width="38" style="120" customWidth="1"/>
    <col min="8213" max="8449" width="9.140625" style="120"/>
    <col min="8450" max="8450" width="53.85546875" style="120" customWidth="1"/>
    <col min="8451" max="8451" width="11.5703125" style="120" customWidth="1"/>
    <col min="8452" max="8452" width="11.42578125" style="120" customWidth="1"/>
    <col min="8453" max="8456" width="10.85546875" style="120" customWidth="1"/>
    <col min="8457" max="8457" width="9.140625" style="120"/>
    <col min="8458" max="8458" width="49.85546875" style="120" customWidth="1"/>
    <col min="8459" max="8467" width="9.140625" style="120"/>
    <col min="8468" max="8468" width="38" style="120" customWidth="1"/>
    <col min="8469" max="8705" width="9.140625" style="120"/>
    <col min="8706" max="8706" width="53.85546875" style="120" customWidth="1"/>
    <col min="8707" max="8707" width="11.5703125" style="120" customWidth="1"/>
    <col min="8708" max="8708" width="11.42578125" style="120" customWidth="1"/>
    <col min="8709" max="8712" width="10.85546875" style="120" customWidth="1"/>
    <col min="8713" max="8713" width="9.140625" style="120"/>
    <col min="8714" max="8714" width="49.85546875" style="120" customWidth="1"/>
    <col min="8715" max="8723" width="9.140625" style="120"/>
    <col min="8724" max="8724" width="38" style="120" customWidth="1"/>
    <col min="8725" max="8961" width="9.140625" style="120"/>
    <col min="8962" max="8962" width="53.85546875" style="120" customWidth="1"/>
    <col min="8963" max="8963" width="11.5703125" style="120" customWidth="1"/>
    <col min="8964" max="8964" width="11.42578125" style="120" customWidth="1"/>
    <col min="8965" max="8968" width="10.85546875" style="120" customWidth="1"/>
    <col min="8969" max="8969" width="9.140625" style="120"/>
    <col min="8970" max="8970" width="49.85546875" style="120" customWidth="1"/>
    <col min="8971" max="8979" width="9.140625" style="120"/>
    <col min="8980" max="8980" width="38" style="120" customWidth="1"/>
    <col min="8981" max="9217" width="9.140625" style="120"/>
    <col min="9218" max="9218" width="53.85546875" style="120" customWidth="1"/>
    <col min="9219" max="9219" width="11.5703125" style="120" customWidth="1"/>
    <col min="9220" max="9220" width="11.42578125" style="120" customWidth="1"/>
    <col min="9221" max="9224" width="10.85546875" style="120" customWidth="1"/>
    <col min="9225" max="9225" width="9.140625" style="120"/>
    <col min="9226" max="9226" width="49.85546875" style="120" customWidth="1"/>
    <col min="9227" max="9235" width="9.140625" style="120"/>
    <col min="9236" max="9236" width="38" style="120" customWidth="1"/>
    <col min="9237" max="9473" width="9.140625" style="120"/>
    <col min="9474" max="9474" width="53.85546875" style="120" customWidth="1"/>
    <col min="9475" max="9475" width="11.5703125" style="120" customWidth="1"/>
    <col min="9476" max="9476" width="11.42578125" style="120" customWidth="1"/>
    <col min="9477" max="9480" width="10.85546875" style="120" customWidth="1"/>
    <col min="9481" max="9481" width="9.140625" style="120"/>
    <col min="9482" max="9482" width="49.85546875" style="120" customWidth="1"/>
    <col min="9483" max="9491" width="9.140625" style="120"/>
    <col min="9492" max="9492" width="38" style="120" customWidth="1"/>
    <col min="9493" max="9729" width="9.140625" style="120"/>
    <col min="9730" max="9730" width="53.85546875" style="120" customWidth="1"/>
    <col min="9731" max="9731" width="11.5703125" style="120" customWidth="1"/>
    <col min="9732" max="9732" width="11.42578125" style="120" customWidth="1"/>
    <col min="9733" max="9736" width="10.85546875" style="120" customWidth="1"/>
    <col min="9737" max="9737" width="9.140625" style="120"/>
    <col min="9738" max="9738" width="49.85546875" style="120" customWidth="1"/>
    <col min="9739" max="9747" width="9.140625" style="120"/>
    <col min="9748" max="9748" width="38" style="120" customWidth="1"/>
    <col min="9749" max="9985" width="9.140625" style="120"/>
    <col min="9986" max="9986" width="53.85546875" style="120" customWidth="1"/>
    <col min="9987" max="9987" width="11.5703125" style="120" customWidth="1"/>
    <col min="9988" max="9988" width="11.42578125" style="120" customWidth="1"/>
    <col min="9989" max="9992" width="10.85546875" style="120" customWidth="1"/>
    <col min="9993" max="9993" width="9.140625" style="120"/>
    <col min="9994" max="9994" width="49.85546875" style="120" customWidth="1"/>
    <col min="9995" max="10003" width="9.140625" style="120"/>
    <col min="10004" max="10004" width="38" style="120" customWidth="1"/>
    <col min="10005" max="10241" width="9.140625" style="120"/>
    <col min="10242" max="10242" width="53.85546875" style="120" customWidth="1"/>
    <col min="10243" max="10243" width="11.5703125" style="120" customWidth="1"/>
    <col min="10244" max="10244" width="11.42578125" style="120" customWidth="1"/>
    <col min="10245" max="10248" width="10.85546875" style="120" customWidth="1"/>
    <col min="10249" max="10249" width="9.140625" style="120"/>
    <col min="10250" max="10250" width="49.85546875" style="120" customWidth="1"/>
    <col min="10251" max="10259" width="9.140625" style="120"/>
    <col min="10260" max="10260" width="38" style="120" customWidth="1"/>
    <col min="10261" max="10497" width="9.140625" style="120"/>
    <col min="10498" max="10498" width="53.85546875" style="120" customWidth="1"/>
    <col min="10499" max="10499" width="11.5703125" style="120" customWidth="1"/>
    <col min="10500" max="10500" width="11.42578125" style="120" customWidth="1"/>
    <col min="10501" max="10504" width="10.85546875" style="120" customWidth="1"/>
    <col min="10505" max="10505" width="9.140625" style="120"/>
    <col min="10506" max="10506" width="49.85546875" style="120" customWidth="1"/>
    <col min="10507" max="10515" width="9.140625" style="120"/>
    <col min="10516" max="10516" width="38" style="120" customWidth="1"/>
    <col min="10517" max="10753" width="9.140625" style="120"/>
    <col min="10754" max="10754" width="53.85546875" style="120" customWidth="1"/>
    <col min="10755" max="10755" width="11.5703125" style="120" customWidth="1"/>
    <col min="10756" max="10756" width="11.42578125" style="120" customWidth="1"/>
    <col min="10757" max="10760" width="10.85546875" style="120" customWidth="1"/>
    <col min="10761" max="10761" width="9.140625" style="120"/>
    <col min="10762" max="10762" width="49.85546875" style="120" customWidth="1"/>
    <col min="10763" max="10771" width="9.140625" style="120"/>
    <col min="10772" max="10772" width="38" style="120" customWidth="1"/>
    <col min="10773" max="11009" width="9.140625" style="120"/>
    <col min="11010" max="11010" width="53.85546875" style="120" customWidth="1"/>
    <col min="11011" max="11011" width="11.5703125" style="120" customWidth="1"/>
    <col min="11012" max="11012" width="11.42578125" style="120" customWidth="1"/>
    <col min="11013" max="11016" width="10.85546875" style="120" customWidth="1"/>
    <col min="11017" max="11017" width="9.140625" style="120"/>
    <col min="11018" max="11018" width="49.85546875" style="120" customWidth="1"/>
    <col min="11019" max="11027" width="9.140625" style="120"/>
    <col min="11028" max="11028" width="38" style="120" customWidth="1"/>
    <col min="11029" max="11265" width="9.140625" style="120"/>
    <col min="11266" max="11266" width="53.85546875" style="120" customWidth="1"/>
    <col min="11267" max="11267" width="11.5703125" style="120" customWidth="1"/>
    <col min="11268" max="11268" width="11.42578125" style="120" customWidth="1"/>
    <col min="11269" max="11272" width="10.85546875" style="120" customWidth="1"/>
    <col min="11273" max="11273" width="9.140625" style="120"/>
    <col min="11274" max="11274" width="49.85546875" style="120" customWidth="1"/>
    <col min="11275" max="11283" width="9.140625" style="120"/>
    <col min="11284" max="11284" width="38" style="120" customWidth="1"/>
    <col min="11285" max="11521" width="9.140625" style="120"/>
    <col min="11522" max="11522" width="53.85546875" style="120" customWidth="1"/>
    <col min="11523" max="11523" width="11.5703125" style="120" customWidth="1"/>
    <col min="11524" max="11524" width="11.42578125" style="120" customWidth="1"/>
    <col min="11525" max="11528" width="10.85546875" style="120" customWidth="1"/>
    <col min="11529" max="11529" width="9.140625" style="120"/>
    <col min="11530" max="11530" width="49.85546875" style="120" customWidth="1"/>
    <col min="11531" max="11539" width="9.140625" style="120"/>
    <col min="11540" max="11540" width="38" style="120" customWidth="1"/>
    <col min="11541" max="11777" width="9.140625" style="120"/>
    <col min="11778" max="11778" width="53.85546875" style="120" customWidth="1"/>
    <col min="11779" max="11779" width="11.5703125" style="120" customWidth="1"/>
    <col min="11780" max="11780" width="11.42578125" style="120" customWidth="1"/>
    <col min="11781" max="11784" width="10.85546875" style="120" customWidth="1"/>
    <col min="11785" max="11785" width="9.140625" style="120"/>
    <col min="11786" max="11786" width="49.85546875" style="120" customWidth="1"/>
    <col min="11787" max="11795" width="9.140625" style="120"/>
    <col min="11796" max="11796" width="38" style="120" customWidth="1"/>
    <col min="11797" max="12033" width="9.140625" style="120"/>
    <col min="12034" max="12034" width="53.85546875" style="120" customWidth="1"/>
    <col min="12035" max="12035" width="11.5703125" style="120" customWidth="1"/>
    <col min="12036" max="12036" width="11.42578125" style="120" customWidth="1"/>
    <col min="12037" max="12040" width="10.85546875" style="120" customWidth="1"/>
    <col min="12041" max="12041" width="9.140625" style="120"/>
    <col min="12042" max="12042" width="49.85546875" style="120" customWidth="1"/>
    <col min="12043" max="12051" width="9.140625" style="120"/>
    <col min="12052" max="12052" width="38" style="120" customWidth="1"/>
    <col min="12053" max="12289" width="9.140625" style="120"/>
    <col min="12290" max="12290" width="53.85546875" style="120" customWidth="1"/>
    <col min="12291" max="12291" width="11.5703125" style="120" customWidth="1"/>
    <col min="12292" max="12292" width="11.42578125" style="120" customWidth="1"/>
    <col min="12293" max="12296" width="10.85546875" style="120" customWidth="1"/>
    <col min="12297" max="12297" width="9.140625" style="120"/>
    <col min="12298" max="12298" width="49.85546875" style="120" customWidth="1"/>
    <col min="12299" max="12307" width="9.140625" style="120"/>
    <col min="12308" max="12308" width="38" style="120" customWidth="1"/>
    <col min="12309" max="12545" width="9.140625" style="120"/>
    <col min="12546" max="12546" width="53.85546875" style="120" customWidth="1"/>
    <col min="12547" max="12547" width="11.5703125" style="120" customWidth="1"/>
    <col min="12548" max="12548" width="11.42578125" style="120" customWidth="1"/>
    <col min="12549" max="12552" width="10.85546875" style="120" customWidth="1"/>
    <col min="12553" max="12553" width="9.140625" style="120"/>
    <col min="12554" max="12554" width="49.85546875" style="120" customWidth="1"/>
    <col min="12555" max="12563" width="9.140625" style="120"/>
    <col min="12564" max="12564" width="38" style="120" customWidth="1"/>
    <col min="12565" max="12801" width="9.140625" style="120"/>
    <col min="12802" max="12802" width="53.85546875" style="120" customWidth="1"/>
    <col min="12803" max="12803" width="11.5703125" style="120" customWidth="1"/>
    <col min="12804" max="12804" width="11.42578125" style="120" customWidth="1"/>
    <col min="12805" max="12808" width="10.85546875" style="120" customWidth="1"/>
    <col min="12809" max="12809" width="9.140625" style="120"/>
    <col min="12810" max="12810" width="49.85546875" style="120" customWidth="1"/>
    <col min="12811" max="12819" width="9.140625" style="120"/>
    <col min="12820" max="12820" width="38" style="120" customWidth="1"/>
    <col min="12821" max="13057" width="9.140625" style="120"/>
    <col min="13058" max="13058" width="53.85546875" style="120" customWidth="1"/>
    <col min="13059" max="13059" width="11.5703125" style="120" customWidth="1"/>
    <col min="13060" max="13060" width="11.42578125" style="120" customWidth="1"/>
    <col min="13061" max="13064" width="10.85546875" style="120" customWidth="1"/>
    <col min="13065" max="13065" width="9.140625" style="120"/>
    <col min="13066" max="13066" width="49.85546875" style="120" customWidth="1"/>
    <col min="13067" max="13075" width="9.140625" style="120"/>
    <col min="13076" max="13076" width="38" style="120" customWidth="1"/>
    <col min="13077" max="13313" width="9.140625" style="120"/>
    <col min="13314" max="13314" width="53.85546875" style="120" customWidth="1"/>
    <col min="13315" max="13315" width="11.5703125" style="120" customWidth="1"/>
    <col min="13316" max="13316" width="11.42578125" style="120" customWidth="1"/>
    <col min="13317" max="13320" width="10.85546875" style="120" customWidth="1"/>
    <col min="13321" max="13321" width="9.140625" style="120"/>
    <col min="13322" max="13322" width="49.85546875" style="120" customWidth="1"/>
    <col min="13323" max="13331" width="9.140625" style="120"/>
    <col min="13332" max="13332" width="38" style="120" customWidth="1"/>
    <col min="13333" max="13569" width="9.140625" style="120"/>
    <col min="13570" max="13570" width="53.85546875" style="120" customWidth="1"/>
    <col min="13571" max="13571" width="11.5703125" style="120" customWidth="1"/>
    <col min="13572" max="13572" width="11.42578125" style="120" customWidth="1"/>
    <col min="13573" max="13576" width="10.85546875" style="120" customWidth="1"/>
    <col min="13577" max="13577" width="9.140625" style="120"/>
    <col min="13578" max="13578" width="49.85546875" style="120" customWidth="1"/>
    <col min="13579" max="13587" width="9.140625" style="120"/>
    <col min="13588" max="13588" width="38" style="120" customWidth="1"/>
    <col min="13589" max="13825" width="9.140625" style="120"/>
    <col min="13826" max="13826" width="53.85546875" style="120" customWidth="1"/>
    <col min="13827" max="13827" width="11.5703125" style="120" customWidth="1"/>
    <col min="13828" max="13828" width="11.42578125" style="120" customWidth="1"/>
    <col min="13829" max="13832" width="10.85546875" style="120" customWidth="1"/>
    <col min="13833" max="13833" width="9.140625" style="120"/>
    <col min="13834" max="13834" width="49.85546875" style="120" customWidth="1"/>
    <col min="13835" max="13843" width="9.140625" style="120"/>
    <col min="13844" max="13844" width="38" style="120" customWidth="1"/>
    <col min="13845" max="14081" width="9.140625" style="120"/>
    <col min="14082" max="14082" width="53.85546875" style="120" customWidth="1"/>
    <col min="14083" max="14083" width="11.5703125" style="120" customWidth="1"/>
    <col min="14084" max="14084" width="11.42578125" style="120" customWidth="1"/>
    <col min="14085" max="14088" width="10.85546875" style="120" customWidth="1"/>
    <col min="14089" max="14089" width="9.140625" style="120"/>
    <col min="14090" max="14090" width="49.85546875" style="120" customWidth="1"/>
    <col min="14091" max="14099" width="9.140625" style="120"/>
    <col min="14100" max="14100" width="38" style="120" customWidth="1"/>
    <col min="14101" max="14337" width="9.140625" style="120"/>
    <col min="14338" max="14338" width="53.85546875" style="120" customWidth="1"/>
    <col min="14339" max="14339" width="11.5703125" style="120" customWidth="1"/>
    <col min="14340" max="14340" width="11.42578125" style="120" customWidth="1"/>
    <col min="14341" max="14344" width="10.85546875" style="120" customWidth="1"/>
    <col min="14345" max="14345" width="9.140625" style="120"/>
    <col min="14346" max="14346" width="49.85546875" style="120" customWidth="1"/>
    <col min="14347" max="14355" width="9.140625" style="120"/>
    <col min="14356" max="14356" width="38" style="120" customWidth="1"/>
    <col min="14357" max="14593" width="9.140625" style="120"/>
    <col min="14594" max="14594" width="53.85546875" style="120" customWidth="1"/>
    <col min="14595" max="14595" width="11.5703125" style="120" customWidth="1"/>
    <col min="14596" max="14596" width="11.42578125" style="120" customWidth="1"/>
    <col min="14597" max="14600" width="10.85546875" style="120" customWidth="1"/>
    <col min="14601" max="14601" width="9.140625" style="120"/>
    <col min="14602" max="14602" width="49.85546875" style="120" customWidth="1"/>
    <col min="14603" max="14611" width="9.140625" style="120"/>
    <col min="14612" max="14612" width="38" style="120" customWidth="1"/>
    <col min="14613" max="14849" width="9.140625" style="120"/>
    <col min="14850" max="14850" width="53.85546875" style="120" customWidth="1"/>
    <col min="14851" max="14851" width="11.5703125" style="120" customWidth="1"/>
    <col min="14852" max="14852" width="11.42578125" style="120" customWidth="1"/>
    <col min="14853" max="14856" width="10.85546875" style="120" customWidth="1"/>
    <col min="14857" max="14857" width="9.140625" style="120"/>
    <col min="14858" max="14858" width="49.85546875" style="120" customWidth="1"/>
    <col min="14859" max="14867" width="9.140625" style="120"/>
    <col min="14868" max="14868" width="38" style="120" customWidth="1"/>
    <col min="14869" max="15105" width="9.140625" style="120"/>
    <col min="15106" max="15106" width="53.85546875" style="120" customWidth="1"/>
    <col min="15107" max="15107" width="11.5703125" style="120" customWidth="1"/>
    <col min="15108" max="15108" width="11.42578125" style="120" customWidth="1"/>
    <col min="15109" max="15112" width="10.85546875" style="120" customWidth="1"/>
    <col min="15113" max="15113" width="9.140625" style="120"/>
    <col min="15114" max="15114" width="49.85546875" style="120" customWidth="1"/>
    <col min="15115" max="15123" width="9.140625" style="120"/>
    <col min="15124" max="15124" width="38" style="120" customWidth="1"/>
    <col min="15125" max="15361" width="9.140625" style="120"/>
    <col min="15362" max="15362" width="53.85546875" style="120" customWidth="1"/>
    <col min="15363" max="15363" width="11.5703125" style="120" customWidth="1"/>
    <col min="15364" max="15364" width="11.42578125" style="120" customWidth="1"/>
    <col min="15365" max="15368" width="10.85546875" style="120" customWidth="1"/>
    <col min="15369" max="15369" width="9.140625" style="120"/>
    <col min="15370" max="15370" width="49.85546875" style="120" customWidth="1"/>
    <col min="15371" max="15379" width="9.140625" style="120"/>
    <col min="15380" max="15380" width="38" style="120" customWidth="1"/>
    <col min="15381" max="15617" width="9.140625" style="120"/>
    <col min="15618" max="15618" width="53.85546875" style="120" customWidth="1"/>
    <col min="15619" max="15619" width="11.5703125" style="120" customWidth="1"/>
    <col min="15620" max="15620" width="11.42578125" style="120" customWidth="1"/>
    <col min="15621" max="15624" width="10.85546875" style="120" customWidth="1"/>
    <col min="15625" max="15625" width="9.140625" style="120"/>
    <col min="15626" max="15626" width="49.85546875" style="120" customWidth="1"/>
    <col min="15627" max="15635" width="9.140625" style="120"/>
    <col min="15636" max="15636" width="38" style="120" customWidth="1"/>
    <col min="15637" max="15873" width="9.140625" style="120"/>
    <col min="15874" max="15874" width="53.85546875" style="120" customWidth="1"/>
    <col min="15875" max="15875" width="11.5703125" style="120" customWidth="1"/>
    <col min="15876" max="15876" width="11.42578125" style="120" customWidth="1"/>
    <col min="15877" max="15880" width="10.85546875" style="120" customWidth="1"/>
    <col min="15881" max="15881" width="9.140625" style="120"/>
    <col min="15882" max="15882" width="49.85546875" style="120" customWidth="1"/>
    <col min="15883" max="15891" width="9.140625" style="120"/>
    <col min="15892" max="15892" width="38" style="120" customWidth="1"/>
    <col min="15893" max="16129" width="9.140625" style="120"/>
    <col min="16130" max="16130" width="53.85546875" style="120" customWidth="1"/>
    <col min="16131" max="16131" width="11.5703125" style="120" customWidth="1"/>
    <col min="16132" max="16132" width="11.42578125" style="120" customWidth="1"/>
    <col min="16133" max="16136" width="10.85546875" style="120" customWidth="1"/>
    <col min="16137" max="16137" width="9.140625" style="120"/>
    <col min="16138" max="16138" width="49.85546875" style="120" customWidth="1"/>
    <col min="16139" max="16147" width="9.140625" style="120"/>
    <col min="16148" max="16148" width="38" style="120" customWidth="1"/>
    <col min="16149" max="16384" width="9.140625" style="120"/>
  </cols>
  <sheetData>
    <row r="1" spans="1:20" ht="38.25" customHeight="1" x14ac:dyDescent="0.25">
      <c r="A1" s="245" t="s">
        <v>1139</v>
      </c>
      <c r="B1" s="245"/>
      <c r="C1" s="245"/>
      <c r="D1" s="245"/>
      <c r="E1" s="245"/>
      <c r="F1" s="245"/>
      <c r="G1" s="245"/>
      <c r="H1" s="245"/>
      <c r="I1" s="245"/>
      <c r="J1" s="245"/>
      <c r="K1" s="245"/>
      <c r="L1" s="245"/>
      <c r="M1" s="245"/>
      <c r="N1" s="245"/>
      <c r="O1" s="245"/>
      <c r="P1" s="245"/>
      <c r="Q1" s="245"/>
      <c r="R1" s="245"/>
      <c r="S1" s="245"/>
    </row>
    <row r="2" spans="1:20" x14ac:dyDescent="0.25">
      <c r="A2" s="54"/>
      <c r="B2" s="54"/>
      <c r="C2" s="246"/>
      <c r="D2" s="246"/>
      <c r="E2" s="246"/>
      <c r="F2" s="55"/>
      <c r="G2" s="55"/>
      <c r="H2" s="55"/>
      <c r="I2" s="121"/>
      <c r="J2" s="243" t="s">
        <v>49</v>
      </c>
      <c r="K2" s="243"/>
      <c r="L2" s="243"/>
      <c r="M2" s="243"/>
      <c r="N2" s="243"/>
      <c r="O2" s="243"/>
      <c r="P2" s="243"/>
      <c r="Q2" s="122"/>
      <c r="R2" s="122"/>
      <c r="S2" s="122"/>
    </row>
    <row r="3" spans="1:20" s="125" customFormat="1" x14ac:dyDescent="0.25">
      <c r="A3" s="247" t="s">
        <v>0</v>
      </c>
      <c r="B3" s="247" t="s">
        <v>1</v>
      </c>
      <c r="C3" s="249" t="s">
        <v>2</v>
      </c>
      <c r="D3" s="250"/>
      <c r="E3" s="250"/>
      <c r="F3" s="247" t="s">
        <v>873</v>
      </c>
      <c r="G3" s="247"/>
      <c r="H3" s="247"/>
      <c r="I3" s="247" t="s">
        <v>0</v>
      </c>
      <c r="J3" s="247" t="s">
        <v>1</v>
      </c>
      <c r="K3" s="249" t="s">
        <v>2</v>
      </c>
      <c r="L3" s="250"/>
      <c r="M3" s="251"/>
      <c r="N3" s="247" t="s">
        <v>942</v>
      </c>
      <c r="O3" s="247"/>
      <c r="P3" s="247"/>
      <c r="Q3" s="248" t="s">
        <v>874</v>
      </c>
      <c r="R3" s="248"/>
      <c r="S3" s="248"/>
    </row>
    <row r="4" spans="1:20" x14ac:dyDescent="0.25">
      <c r="A4" s="248"/>
      <c r="B4" s="247"/>
      <c r="C4" s="123" t="s">
        <v>4</v>
      </c>
      <c r="D4" s="123" t="s">
        <v>3</v>
      </c>
      <c r="E4" s="123" t="s">
        <v>5</v>
      </c>
      <c r="F4" s="123" t="s">
        <v>4</v>
      </c>
      <c r="G4" s="123" t="s">
        <v>3</v>
      </c>
      <c r="H4" s="123" t="s">
        <v>5</v>
      </c>
      <c r="I4" s="248"/>
      <c r="J4" s="247"/>
      <c r="K4" s="123" t="s">
        <v>4</v>
      </c>
      <c r="L4" s="123" t="s">
        <v>3</v>
      </c>
      <c r="M4" s="123" t="s">
        <v>5</v>
      </c>
      <c r="N4" s="123" t="s">
        <v>4</v>
      </c>
      <c r="O4" s="123" t="s">
        <v>3</v>
      </c>
      <c r="P4" s="123" t="s">
        <v>5</v>
      </c>
      <c r="Q4" s="123" t="s">
        <v>4</v>
      </c>
      <c r="R4" s="123" t="s">
        <v>3</v>
      </c>
      <c r="S4" s="123" t="s">
        <v>5</v>
      </c>
    </row>
    <row r="5" spans="1:20" ht="48" hidden="1" customHeight="1" x14ac:dyDescent="0.25">
      <c r="A5" s="249" t="s">
        <v>349</v>
      </c>
      <c r="B5" s="250"/>
      <c r="C5" s="250"/>
      <c r="D5" s="250"/>
      <c r="E5" s="250"/>
      <c r="F5" s="250"/>
      <c r="G5" s="250"/>
      <c r="H5" s="251"/>
      <c r="I5" s="252" t="s">
        <v>872</v>
      </c>
      <c r="J5" s="253"/>
      <c r="K5" s="253"/>
      <c r="L5" s="253"/>
      <c r="M5" s="253"/>
      <c r="N5" s="253"/>
      <c r="O5" s="253"/>
      <c r="P5" s="253"/>
      <c r="Q5" s="253"/>
      <c r="R5" s="253"/>
      <c r="S5" s="254"/>
    </row>
    <row r="6" spans="1:20" s="125" customFormat="1" x14ac:dyDescent="0.25">
      <c r="A6" s="124">
        <v>1</v>
      </c>
      <c r="B6" s="126" t="s">
        <v>350</v>
      </c>
      <c r="C6" s="124"/>
      <c r="D6" s="124"/>
      <c r="E6" s="124"/>
      <c r="F6" s="124"/>
      <c r="G6" s="124"/>
      <c r="H6" s="124"/>
      <c r="I6" s="124">
        <v>1</v>
      </c>
      <c r="J6" s="126" t="s">
        <v>350</v>
      </c>
      <c r="K6" s="124"/>
      <c r="L6" s="124"/>
      <c r="M6" s="124"/>
      <c r="N6" s="124"/>
      <c r="O6" s="124"/>
      <c r="P6" s="124"/>
      <c r="Q6" s="124"/>
      <c r="R6" s="124"/>
      <c r="S6" s="124"/>
    </row>
    <row r="7" spans="1:20" ht="33" x14ac:dyDescent="0.25">
      <c r="A7" s="127" t="s">
        <v>8</v>
      </c>
      <c r="B7" s="128" t="s">
        <v>351</v>
      </c>
      <c r="C7" s="129">
        <v>470</v>
      </c>
      <c r="D7" s="129">
        <v>235</v>
      </c>
      <c r="E7" s="129">
        <v>141</v>
      </c>
      <c r="F7" s="129">
        <f>C7*70%</f>
        <v>329</v>
      </c>
      <c r="G7" s="129">
        <f>D7*70%</f>
        <v>164.5</v>
      </c>
      <c r="H7" s="129">
        <f>E7*70%</f>
        <v>98.699999999999989</v>
      </c>
      <c r="I7" s="127" t="s">
        <v>8</v>
      </c>
      <c r="J7" s="128" t="s">
        <v>351</v>
      </c>
      <c r="K7" s="130">
        <f>470*1.1</f>
        <v>517</v>
      </c>
      <c r="L7" s="130">
        <f>235*1.1</f>
        <v>258.5</v>
      </c>
      <c r="M7" s="130">
        <f>141*1.1</f>
        <v>155.10000000000002</v>
      </c>
      <c r="N7" s="130">
        <f>K7*70%</f>
        <v>361.9</v>
      </c>
      <c r="O7" s="130">
        <f>L7*70%</f>
        <v>180.95</v>
      </c>
      <c r="P7" s="130">
        <f>M7*70%</f>
        <v>108.57000000000001</v>
      </c>
      <c r="Q7" s="130">
        <f>(N7/F7)*100-100</f>
        <v>9.9999999999999858</v>
      </c>
      <c r="R7" s="130">
        <f>(O7/G7)*100-100</f>
        <v>9.9999999999999858</v>
      </c>
      <c r="S7" s="130">
        <f>(P7/H7)*100-100</f>
        <v>10.000000000000028</v>
      </c>
    </row>
    <row r="8" spans="1:20" ht="64.5" customHeight="1" x14ac:dyDescent="0.25">
      <c r="A8" s="127" t="s">
        <v>9</v>
      </c>
      <c r="B8" s="128" t="s">
        <v>352</v>
      </c>
      <c r="C8" s="129">
        <v>410</v>
      </c>
      <c r="D8" s="129">
        <v>205</v>
      </c>
      <c r="E8" s="129">
        <v>123</v>
      </c>
      <c r="F8" s="129">
        <f t="shared" ref="F8:H71" si="0">C8*70%</f>
        <v>287</v>
      </c>
      <c r="G8" s="129">
        <f t="shared" si="0"/>
        <v>143.5</v>
      </c>
      <c r="H8" s="129">
        <f t="shared" si="0"/>
        <v>86.1</v>
      </c>
      <c r="I8" s="127" t="s">
        <v>9</v>
      </c>
      <c r="J8" s="128" t="s">
        <v>353</v>
      </c>
      <c r="K8" s="130">
        <f>410*1.1</f>
        <v>451.00000000000006</v>
      </c>
      <c r="L8" s="130">
        <f>205*1.1</f>
        <v>225.50000000000003</v>
      </c>
      <c r="M8" s="130">
        <f>123*1.1</f>
        <v>135.30000000000001</v>
      </c>
      <c r="N8" s="130">
        <f t="shared" ref="N8:P71" si="1">K8*70%</f>
        <v>315.70000000000005</v>
      </c>
      <c r="O8" s="130">
        <f t="shared" si="1"/>
        <v>157.85000000000002</v>
      </c>
      <c r="P8" s="130">
        <f t="shared" si="1"/>
        <v>94.710000000000008</v>
      </c>
      <c r="Q8" s="130">
        <f t="shared" ref="Q8:S71" si="2">(N8/F8)*100-100</f>
        <v>10.000000000000014</v>
      </c>
      <c r="R8" s="130">
        <f t="shared" si="2"/>
        <v>10.000000000000014</v>
      </c>
      <c r="S8" s="130">
        <f t="shared" si="2"/>
        <v>10.000000000000014</v>
      </c>
      <c r="T8" s="131"/>
    </row>
    <row r="9" spans="1:20" ht="49.5" x14ac:dyDescent="0.25">
      <c r="A9" s="127" t="s">
        <v>61</v>
      </c>
      <c r="B9" s="128" t="s">
        <v>354</v>
      </c>
      <c r="C9" s="129">
        <v>370</v>
      </c>
      <c r="D9" s="129">
        <v>185</v>
      </c>
      <c r="E9" s="129">
        <v>111</v>
      </c>
      <c r="F9" s="129">
        <f>C9*70%</f>
        <v>259</v>
      </c>
      <c r="G9" s="129">
        <f>D9*70%</f>
        <v>129.5</v>
      </c>
      <c r="H9" s="129">
        <f>E9*70%</f>
        <v>77.699999999999989</v>
      </c>
      <c r="I9" s="127" t="s">
        <v>61</v>
      </c>
      <c r="J9" s="128" t="s">
        <v>354</v>
      </c>
      <c r="K9" s="130">
        <f>370*1.1</f>
        <v>407.00000000000006</v>
      </c>
      <c r="L9" s="130">
        <f>185*1.1</f>
        <v>203.50000000000003</v>
      </c>
      <c r="M9" s="130">
        <f>111*1.1</f>
        <v>122.10000000000001</v>
      </c>
      <c r="N9" s="130">
        <f t="shared" si="1"/>
        <v>284.90000000000003</v>
      </c>
      <c r="O9" s="130">
        <f t="shared" si="1"/>
        <v>142.45000000000002</v>
      </c>
      <c r="P9" s="130">
        <f t="shared" si="1"/>
        <v>85.47</v>
      </c>
      <c r="Q9" s="130">
        <f t="shared" si="2"/>
        <v>10.000000000000014</v>
      </c>
      <c r="R9" s="130">
        <f t="shared" si="2"/>
        <v>10.000000000000014</v>
      </c>
      <c r="S9" s="130">
        <f t="shared" si="2"/>
        <v>10.000000000000014</v>
      </c>
    </row>
    <row r="10" spans="1:20" ht="33" hidden="1" x14ac:dyDescent="0.25">
      <c r="A10" s="127" t="s">
        <v>62</v>
      </c>
      <c r="B10" s="128" t="s">
        <v>355</v>
      </c>
      <c r="C10" s="129">
        <v>410</v>
      </c>
      <c r="D10" s="129">
        <v>205</v>
      </c>
      <c r="E10" s="129">
        <v>123</v>
      </c>
      <c r="F10" s="129">
        <f t="shared" si="0"/>
        <v>287</v>
      </c>
      <c r="G10" s="129">
        <f t="shared" si="0"/>
        <v>143.5</v>
      </c>
      <c r="H10" s="129">
        <f t="shared" si="0"/>
        <v>86.1</v>
      </c>
      <c r="I10" s="130"/>
      <c r="J10" s="132"/>
      <c r="K10" s="130"/>
      <c r="L10" s="133"/>
      <c r="M10" s="133"/>
      <c r="N10" s="130">
        <f t="shared" si="1"/>
        <v>0</v>
      </c>
      <c r="O10" s="130">
        <f t="shared" si="1"/>
        <v>0</v>
      </c>
      <c r="P10" s="130">
        <f t="shared" si="1"/>
        <v>0</v>
      </c>
      <c r="Q10" s="130">
        <f t="shared" si="2"/>
        <v>-100</v>
      </c>
      <c r="R10" s="130">
        <f t="shared" si="2"/>
        <v>-100</v>
      </c>
      <c r="S10" s="130">
        <f t="shared" si="2"/>
        <v>-100</v>
      </c>
    </row>
    <row r="11" spans="1:20" ht="54.75" customHeight="1" x14ac:dyDescent="0.25">
      <c r="A11" s="127" t="s">
        <v>63</v>
      </c>
      <c r="B11" s="128" t="s">
        <v>356</v>
      </c>
      <c r="C11" s="129">
        <v>370</v>
      </c>
      <c r="D11" s="129">
        <v>185</v>
      </c>
      <c r="E11" s="129">
        <v>111</v>
      </c>
      <c r="F11" s="129">
        <f t="shared" si="0"/>
        <v>259</v>
      </c>
      <c r="G11" s="129">
        <f t="shared" si="0"/>
        <v>129.5</v>
      </c>
      <c r="H11" s="129">
        <f t="shared" si="0"/>
        <v>77.699999999999989</v>
      </c>
      <c r="I11" s="127" t="s">
        <v>62</v>
      </c>
      <c r="J11" s="128" t="s">
        <v>357</v>
      </c>
      <c r="K11" s="130">
        <f>370*1.1</f>
        <v>407.00000000000006</v>
      </c>
      <c r="L11" s="130">
        <f>185*1.1</f>
        <v>203.50000000000003</v>
      </c>
      <c r="M11" s="130">
        <f>111*1.1</f>
        <v>122.10000000000001</v>
      </c>
      <c r="N11" s="130">
        <f t="shared" si="1"/>
        <v>284.90000000000003</v>
      </c>
      <c r="O11" s="130">
        <f t="shared" si="1"/>
        <v>142.45000000000002</v>
      </c>
      <c r="P11" s="130">
        <f t="shared" si="1"/>
        <v>85.47</v>
      </c>
      <c r="Q11" s="130">
        <f t="shared" si="2"/>
        <v>10.000000000000014</v>
      </c>
      <c r="R11" s="130">
        <f t="shared" si="2"/>
        <v>10.000000000000014</v>
      </c>
      <c r="S11" s="130">
        <f t="shared" si="2"/>
        <v>10.000000000000014</v>
      </c>
      <c r="T11" s="131"/>
    </row>
    <row r="12" spans="1:20" ht="33" x14ac:dyDescent="0.25">
      <c r="A12" s="127" t="s">
        <v>64</v>
      </c>
      <c r="B12" s="128" t="s">
        <v>358</v>
      </c>
      <c r="C12" s="129">
        <v>470</v>
      </c>
      <c r="D12" s="129">
        <v>235</v>
      </c>
      <c r="E12" s="129">
        <v>141</v>
      </c>
      <c r="F12" s="129">
        <f t="shared" si="0"/>
        <v>329</v>
      </c>
      <c r="G12" s="129">
        <f t="shared" si="0"/>
        <v>164.5</v>
      </c>
      <c r="H12" s="129">
        <f t="shared" si="0"/>
        <v>98.699999999999989</v>
      </c>
      <c r="I12" s="127" t="s">
        <v>63</v>
      </c>
      <c r="J12" s="128" t="s">
        <v>875</v>
      </c>
      <c r="K12" s="130">
        <f>470*1.1</f>
        <v>517</v>
      </c>
      <c r="L12" s="130">
        <f>235*1.1</f>
        <v>258.5</v>
      </c>
      <c r="M12" s="130">
        <f>141*1.1</f>
        <v>155.10000000000002</v>
      </c>
      <c r="N12" s="130">
        <f t="shared" si="1"/>
        <v>361.9</v>
      </c>
      <c r="O12" s="130">
        <f t="shared" si="1"/>
        <v>180.95</v>
      </c>
      <c r="P12" s="130">
        <f t="shared" si="1"/>
        <v>108.57000000000001</v>
      </c>
      <c r="Q12" s="130">
        <f t="shared" si="2"/>
        <v>9.9999999999999858</v>
      </c>
      <c r="R12" s="130">
        <f t="shared" si="2"/>
        <v>9.9999999999999858</v>
      </c>
      <c r="S12" s="130">
        <f t="shared" si="2"/>
        <v>10.000000000000028</v>
      </c>
      <c r="T12" s="131"/>
    </row>
    <row r="13" spans="1:20" ht="66.75" customHeight="1" x14ac:dyDescent="0.25">
      <c r="A13" s="133" t="s">
        <v>65</v>
      </c>
      <c r="B13" s="128" t="s">
        <v>359</v>
      </c>
      <c r="C13" s="129">
        <v>540</v>
      </c>
      <c r="D13" s="129">
        <v>270</v>
      </c>
      <c r="E13" s="129">
        <v>162</v>
      </c>
      <c r="F13" s="129">
        <f t="shared" si="0"/>
        <v>378</v>
      </c>
      <c r="G13" s="129">
        <f t="shared" si="0"/>
        <v>189</v>
      </c>
      <c r="H13" s="129">
        <f t="shared" si="0"/>
        <v>113.39999999999999</v>
      </c>
      <c r="I13" s="127" t="s">
        <v>64</v>
      </c>
      <c r="J13" s="128" t="s">
        <v>876</v>
      </c>
      <c r="K13" s="130">
        <f>540*1.1</f>
        <v>594</v>
      </c>
      <c r="L13" s="130">
        <f>270*1.1</f>
        <v>297</v>
      </c>
      <c r="M13" s="130">
        <f>162*1.1</f>
        <v>178.20000000000002</v>
      </c>
      <c r="N13" s="130">
        <f t="shared" si="1"/>
        <v>415.79999999999995</v>
      </c>
      <c r="O13" s="130">
        <f t="shared" si="1"/>
        <v>207.89999999999998</v>
      </c>
      <c r="P13" s="130">
        <f t="shared" si="1"/>
        <v>124.74000000000001</v>
      </c>
      <c r="Q13" s="130">
        <f t="shared" si="2"/>
        <v>9.9999999999999858</v>
      </c>
      <c r="R13" s="130">
        <f t="shared" si="2"/>
        <v>9.9999999999999858</v>
      </c>
      <c r="S13" s="130">
        <f t="shared" si="2"/>
        <v>10.000000000000014</v>
      </c>
      <c r="T13" s="131"/>
    </row>
    <row r="14" spans="1:20" x14ac:dyDescent="0.25">
      <c r="A14" s="133" t="s">
        <v>67</v>
      </c>
      <c r="B14" s="128" t="s">
        <v>360</v>
      </c>
      <c r="C14" s="130"/>
      <c r="D14" s="130"/>
      <c r="E14" s="130"/>
      <c r="F14" s="129"/>
      <c r="G14" s="129"/>
      <c r="H14" s="129"/>
      <c r="I14" s="133" t="s">
        <v>65</v>
      </c>
      <c r="J14" s="128" t="s">
        <v>360</v>
      </c>
      <c r="K14" s="130"/>
      <c r="L14" s="130"/>
      <c r="M14" s="130"/>
      <c r="N14" s="130"/>
      <c r="O14" s="130"/>
      <c r="P14" s="130"/>
      <c r="Q14" s="130"/>
      <c r="R14" s="130"/>
      <c r="S14" s="130"/>
    </row>
    <row r="15" spans="1:20" x14ac:dyDescent="0.25">
      <c r="A15" s="133" t="s">
        <v>361</v>
      </c>
      <c r="B15" s="128" t="s">
        <v>362</v>
      </c>
      <c r="C15" s="129">
        <v>210</v>
      </c>
      <c r="D15" s="129">
        <v>105</v>
      </c>
      <c r="E15" s="129">
        <v>63</v>
      </c>
      <c r="F15" s="129">
        <f t="shared" si="0"/>
        <v>147</v>
      </c>
      <c r="G15" s="129">
        <f t="shared" si="0"/>
        <v>73.5</v>
      </c>
      <c r="H15" s="129">
        <f t="shared" si="0"/>
        <v>44.099999999999994</v>
      </c>
      <c r="I15" s="133" t="s">
        <v>363</v>
      </c>
      <c r="J15" s="128" t="s">
        <v>362</v>
      </c>
      <c r="K15" s="130">
        <f>210*1.1</f>
        <v>231.00000000000003</v>
      </c>
      <c r="L15" s="130">
        <f>105*1.1</f>
        <v>115.50000000000001</v>
      </c>
      <c r="M15" s="130">
        <f>63*1.1</f>
        <v>69.300000000000011</v>
      </c>
      <c r="N15" s="130">
        <f t="shared" si="1"/>
        <v>161.70000000000002</v>
      </c>
      <c r="O15" s="130">
        <f t="shared" si="1"/>
        <v>80.850000000000009</v>
      </c>
      <c r="P15" s="130">
        <f t="shared" si="1"/>
        <v>48.510000000000005</v>
      </c>
      <c r="Q15" s="130">
        <f t="shared" si="2"/>
        <v>10.000000000000014</v>
      </c>
      <c r="R15" s="130">
        <f t="shared" si="2"/>
        <v>10.000000000000014</v>
      </c>
      <c r="S15" s="130">
        <f t="shared" si="2"/>
        <v>10.000000000000028</v>
      </c>
    </row>
    <row r="16" spans="1:20" x14ac:dyDescent="0.25">
      <c r="A16" s="133" t="s">
        <v>364</v>
      </c>
      <c r="B16" s="128" t="s">
        <v>365</v>
      </c>
      <c r="C16" s="129">
        <v>120</v>
      </c>
      <c r="D16" s="129">
        <v>60</v>
      </c>
      <c r="E16" s="129">
        <v>36</v>
      </c>
      <c r="F16" s="129">
        <f t="shared" si="0"/>
        <v>84</v>
      </c>
      <c r="G16" s="129">
        <f t="shared" si="0"/>
        <v>42</v>
      </c>
      <c r="H16" s="129">
        <f t="shared" si="0"/>
        <v>25.2</v>
      </c>
      <c r="I16" s="133" t="s">
        <v>366</v>
      </c>
      <c r="J16" s="128" t="s">
        <v>365</v>
      </c>
      <c r="K16" s="130">
        <f>120*1.1</f>
        <v>132</v>
      </c>
      <c r="L16" s="130">
        <f>60*1.1</f>
        <v>66</v>
      </c>
      <c r="M16" s="130">
        <f>36*1.1</f>
        <v>39.6</v>
      </c>
      <c r="N16" s="130">
        <f t="shared" si="1"/>
        <v>92.399999999999991</v>
      </c>
      <c r="O16" s="130">
        <f t="shared" si="1"/>
        <v>46.199999999999996</v>
      </c>
      <c r="P16" s="130">
        <f t="shared" si="1"/>
        <v>27.72</v>
      </c>
      <c r="Q16" s="130">
        <f t="shared" si="2"/>
        <v>9.9999999999999858</v>
      </c>
      <c r="R16" s="130">
        <f t="shared" si="2"/>
        <v>9.9999999999999858</v>
      </c>
      <c r="S16" s="130">
        <f t="shared" si="2"/>
        <v>10.000000000000014</v>
      </c>
    </row>
    <row r="17" spans="1:19" x14ac:dyDescent="0.25">
      <c r="A17" s="133" t="s">
        <v>69</v>
      </c>
      <c r="B17" s="128" t="s">
        <v>367</v>
      </c>
      <c r="C17" s="129"/>
      <c r="D17" s="129"/>
      <c r="E17" s="129"/>
      <c r="F17" s="129"/>
      <c r="G17" s="129"/>
      <c r="H17" s="129"/>
      <c r="I17" s="133" t="s">
        <v>67</v>
      </c>
      <c r="J17" s="128" t="s">
        <v>367</v>
      </c>
      <c r="K17" s="130"/>
      <c r="L17" s="130"/>
      <c r="M17" s="130"/>
      <c r="N17" s="130"/>
      <c r="O17" s="130"/>
      <c r="P17" s="130"/>
      <c r="Q17" s="130"/>
      <c r="R17" s="130"/>
      <c r="S17" s="130"/>
    </row>
    <row r="18" spans="1:19" x14ac:dyDescent="0.25">
      <c r="A18" s="133" t="s">
        <v>368</v>
      </c>
      <c r="B18" s="128" t="s">
        <v>369</v>
      </c>
      <c r="C18" s="129">
        <v>130</v>
      </c>
      <c r="D18" s="129">
        <v>65</v>
      </c>
      <c r="E18" s="129">
        <v>39</v>
      </c>
      <c r="F18" s="129">
        <f t="shared" si="0"/>
        <v>91</v>
      </c>
      <c r="G18" s="129">
        <f t="shared" si="0"/>
        <v>45.5</v>
      </c>
      <c r="H18" s="129">
        <f t="shared" si="0"/>
        <v>27.299999999999997</v>
      </c>
      <c r="I18" s="133" t="s">
        <v>361</v>
      </c>
      <c r="J18" s="128" t="s">
        <v>369</v>
      </c>
      <c r="K18" s="130">
        <f>130*1.1</f>
        <v>143</v>
      </c>
      <c r="L18" s="130">
        <f>65*1.1</f>
        <v>71.5</v>
      </c>
      <c r="M18" s="130">
        <f>39*1.1</f>
        <v>42.900000000000006</v>
      </c>
      <c r="N18" s="130">
        <f t="shared" si="1"/>
        <v>100.1</v>
      </c>
      <c r="O18" s="130">
        <f t="shared" si="1"/>
        <v>50.05</v>
      </c>
      <c r="P18" s="130">
        <f t="shared" si="1"/>
        <v>30.03</v>
      </c>
      <c r="Q18" s="130">
        <f t="shared" si="2"/>
        <v>9.9999999999999858</v>
      </c>
      <c r="R18" s="130">
        <f t="shared" si="2"/>
        <v>9.9999999999999858</v>
      </c>
      <c r="S18" s="130">
        <f t="shared" si="2"/>
        <v>10.000000000000014</v>
      </c>
    </row>
    <row r="19" spans="1:19" x14ac:dyDescent="0.25">
      <c r="A19" s="133" t="s">
        <v>370</v>
      </c>
      <c r="B19" s="128" t="s">
        <v>371</v>
      </c>
      <c r="C19" s="129">
        <v>110</v>
      </c>
      <c r="D19" s="129">
        <v>55</v>
      </c>
      <c r="E19" s="129">
        <v>33</v>
      </c>
      <c r="F19" s="129">
        <f t="shared" si="0"/>
        <v>77</v>
      </c>
      <c r="G19" s="129">
        <f t="shared" si="0"/>
        <v>38.5</v>
      </c>
      <c r="H19" s="129">
        <f t="shared" si="0"/>
        <v>23.099999999999998</v>
      </c>
      <c r="I19" s="133" t="s">
        <v>364</v>
      </c>
      <c r="J19" s="128" t="s">
        <v>371</v>
      </c>
      <c r="K19" s="130">
        <f>110*1.1</f>
        <v>121.00000000000001</v>
      </c>
      <c r="L19" s="130">
        <f>55*1.1</f>
        <v>60.500000000000007</v>
      </c>
      <c r="M19" s="130">
        <f>33*1.1</f>
        <v>36.300000000000004</v>
      </c>
      <c r="N19" s="130">
        <f t="shared" si="1"/>
        <v>84.7</v>
      </c>
      <c r="O19" s="130">
        <f t="shared" si="1"/>
        <v>42.35</v>
      </c>
      <c r="P19" s="130">
        <f t="shared" si="1"/>
        <v>25.41</v>
      </c>
      <c r="Q19" s="130">
        <f t="shared" si="2"/>
        <v>10.000000000000014</v>
      </c>
      <c r="R19" s="130">
        <f t="shared" si="2"/>
        <v>10.000000000000014</v>
      </c>
      <c r="S19" s="130">
        <f t="shared" si="2"/>
        <v>10.000000000000014</v>
      </c>
    </row>
    <row r="20" spans="1:19" ht="49.5" x14ac:dyDescent="0.25">
      <c r="A20" s="134" t="s">
        <v>71</v>
      </c>
      <c r="B20" s="135" t="s">
        <v>372</v>
      </c>
      <c r="C20" s="129">
        <v>450</v>
      </c>
      <c r="D20" s="129">
        <v>225</v>
      </c>
      <c r="E20" s="129">
        <v>135</v>
      </c>
      <c r="F20" s="129">
        <f t="shared" si="0"/>
        <v>315</v>
      </c>
      <c r="G20" s="129">
        <f t="shared" si="0"/>
        <v>157.5</v>
      </c>
      <c r="H20" s="129">
        <f t="shared" si="0"/>
        <v>94.5</v>
      </c>
      <c r="I20" s="134" t="s">
        <v>69</v>
      </c>
      <c r="J20" s="135" t="s">
        <v>372</v>
      </c>
      <c r="K20" s="130">
        <f>450*1.1</f>
        <v>495.00000000000006</v>
      </c>
      <c r="L20" s="130">
        <f>225*1.1</f>
        <v>247.50000000000003</v>
      </c>
      <c r="M20" s="130">
        <f>135*1.1</f>
        <v>148.5</v>
      </c>
      <c r="N20" s="130">
        <f t="shared" si="1"/>
        <v>346.5</v>
      </c>
      <c r="O20" s="130">
        <f t="shared" si="1"/>
        <v>173.25</v>
      </c>
      <c r="P20" s="130">
        <f t="shared" si="1"/>
        <v>103.94999999999999</v>
      </c>
      <c r="Q20" s="130">
        <f t="shared" si="2"/>
        <v>10.000000000000014</v>
      </c>
      <c r="R20" s="130">
        <f t="shared" si="2"/>
        <v>10.000000000000014</v>
      </c>
      <c r="S20" s="130">
        <f t="shared" si="2"/>
        <v>9.9999999999999858</v>
      </c>
    </row>
    <row r="21" spans="1:19" s="125" customFormat="1" x14ac:dyDescent="0.25">
      <c r="A21" s="124">
        <v>2</v>
      </c>
      <c r="B21" s="126" t="s">
        <v>373</v>
      </c>
      <c r="C21" s="136"/>
      <c r="D21" s="136"/>
      <c r="E21" s="136"/>
      <c r="F21" s="129"/>
      <c r="G21" s="129"/>
      <c r="H21" s="129"/>
      <c r="I21" s="124">
        <v>2</v>
      </c>
      <c r="J21" s="126" t="s">
        <v>373</v>
      </c>
      <c r="K21" s="136"/>
      <c r="L21" s="124"/>
      <c r="M21" s="124"/>
      <c r="N21" s="130"/>
      <c r="O21" s="130"/>
      <c r="P21" s="130"/>
      <c r="Q21" s="130"/>
      <c r="R21" s="130"/>
      <c r="S21" s="130"/>
    </row>
    <row r="22" spans="1:19" ht="33" x14ac:dyDescent="0.25">
      <c r="A22" s="133" t="s">
        <v>92</v>
      </c>
      <c r="B22" s="128" t="s">
        <v>374</v>
      </c>
      <c r="C22" s="129">
        <v>700</v>
      </c>
      <c r="D22" s="129">
        <v>350</v>
      </c>
      <c r="E22" s="129">
        <v>210</v>
      </c>
      <c r="F22" s="129">
        <f t="shared" si="0"/>
        <v>489.99999999999994</v>
      </c>
      <c r="G22" s="129">
        <f t="shared" si="0"/>
        <v>244.99999999999997</v>
      </c>
      <c r="H22" s="129">
        <f t="shared" si="0"/>
        <v>147</v>
      </c>
      <c r="I22" s="133" t="s">
        <v>92</v>
      </c>
      <c r="J22" s="128" t="s">
        <v>374</v>
      </c>
      <c r="K22" s="130">
        <f>700*1.1</f>
        <v>770.00000000000011</v>
      </c>
      <c r="L22" s="130">
        <f>350*1.1</f>
        <v>385.00000000000006</v>
      </c>
      <c r="M22" s="130">
        <f>210*1.1</f>
        <v>231.00000000000003</v>
      </c>
      <c r="N22" s="130">
        <f t="shared" si="1"/>
        <v>539</v>
      </c>
      <c r="O22" s="130">
        <f t="shared" si="1"/>
        <v>269.5</v>
      </c>
      <c r="P22" s="130">
        <f t="shared" si="1"/>
        <v>161.70000000000002</v>
      </c>
      <c r="Q22" s="130">
        <f t="shared" si="2"/>
        <v>10.000000000000014</v>
      </c>
      <c r="R22" s="130">
        <f t="shared" si="2"/>
        <v>10.000000000000014</v>
      </c>
      <c r="S22" s="130">
        <f t="shared" si="2"/>
        <v>10.000000000000014</v>
      </c>
    </row>
    <row r="23" spans="1:19" x14ac:dyDescent="0.25">
      <c r="A23" s="127" t="s">
        <v>14</v>
      </c>
      <c r="B23" s="128" t="s">
        <v>375</v>
      </c>
      <c r="C23" s="129"/>
      <c r="D23" s="129"/>
      <c r="E23" s="129"/>
      <c r="F23" s="129"/>
      <c r="G23" s="129"/>
      <c r="H23" s="129"/>
      <c r="I23" s="127" t="s">
        <v>14</v>
      </c>
      <c r="J23" s="128" t="s">
        <v>375</v>
      </c>
      <c r="K23" s="130"/>
      <c r="L23" s="133"/>
      <c r="M23" s="133"/>
      <c r="N23" s="130"/>
      <c r="O23" s="130"/>
      <c r="P23" s="130"/>
      <c r="Q23" s="130"/>
      <c r="R23" s="130"/>
      <c r="S23" s="130"/>
    </row>
    <row r="24" spans="1:19" ht="33" x14ac:dyDescent="0.25">
      <c r="A24" s="127" t="s">
        <v>376</v>
      </c>
      <c r="B24" s="128" t="s">
        <v>377</v>
      </c>
      <c r="C24" s="129">
        <v>140</v>
      </c>
      <c r="D24" s="129"/>
      <c r="E24" s="129"/>
      <c r="F24" s="129">
        <f t="shared" si="0"/>
        <v>98</v>
      </c>
      <c r="G24" s="129"/>
      <c r="H24" s="129"/>
      <c r="I24" s="127" t="s">
        <v>376</v>
      </c>
      <c r="J24" s="128" t="s">
        <v>377</v>
      </c>
      <c r="K24" s="130">
        <f>140*1.1</f>
        <v>154</v>
      </c>
      <c r="L24" s="133"/>
      <c r="M24" s="133"/>
      <c r="N24" s="130">
        <f t="shared" si="1"/>
        <v>107.8</v>
      </c>
      <c r="O24" s="130"/>
      <c r="P24" s="130"/>
      <c r="Q24" s="130">
        <f t="shared" si="2"/>
        <v>9.9999999999999858</v>
      </c>
      <c r="R24" s="130"/>
      <c r="S24" s="130"/>
    </row>
    <row r="25" spans="1:19" ht="33" x14ac:dyDescent="0.25">
      <c r="A25" s="127" t="s">
        <v>378</v>
      </c>
      <c r="B25" s="128" t="s">
        <v>379</v>
      </c>
      <c r="C25" s="129">
        <v>120</v>
      </c>
      <c r="D25" s="129"/>
      <c r="E25" s="129"/>
      <c r="F25" s="129">
        <f t="shared" si="0"/>
        <v>84</v>
      </c>
      <c r="G25" s="129"/>
      <c r="H25" s="129"/>
      <c r="I25" s="127" t="s">
        <v>378</v>
      </c>
      <c r="J25" s="128" t="s">
        <v>379</v>
      </c>
      <c r="K25" s="130">
        <f>120*1.1</f>
        <v>132</v>
      </c>
      <c r="L25" s="133"/>
      <c r="M25" s="133"/>
      <c r="N25" s="130">
        <f t="shared" si="1"/>
        <v>92.399999999999991</v>
      </c>
      <c r="O25" s="130"/>
      <c r="P25" s="130"/>
      <c r="Q25" s="130">
        <f t="shared" si="2"/>
        <v>9.9999999999999858</v>
      </c>
      <c r="R25" s="130"/>
      <c r="S25" s="130"/>
    </row>
    <row r="26" spans="1:19" x14ac:dyDescent="0.25">
      <c r="A26" s="127" t="s">
        <v>380</v>
      </c>
      <c r="B26" s="128" t="s">
        <v>381</v>
      </c>
      <c r="C26" s="129">
        <v>140</v>
      </c>
      <c r="D26" s="129"/>
      <c r="E26" s="129"/>
      <c r="F26" s="129">
        <f t="shared" si="0"/>
        <v>98</v>
      </c>
      <c r="G26" s="129"/>
      <c r="H26" s="129"/>
      <c r="I26" s="127" t="s">
        <v>380</v>
      </c>
      <c r="J26" s="128" t="s">
        <v>381</v>
      </c>
      <c r="K26" s="130">
        <f>140*1.1</f>
        <v>154</v>
      </c>
      <c r="L26" s="133"/>
      <c r="M26" s="133"/>
      <c r="N26" s="130">
        <f t="shared" si="1"/>
        <v>107.8</v>
      </c>
      <c r="O26" s="130"/>
      <c r="P26" s="130"/>
      <c r="Q26" s="130">
        <f t="shared" si="2"/>
        <v>9.9999999999999858</v>
      </c>
      <c r="R26" s="130"/>
      <c r="S26" s="130"/>
    </row>
    <row r="27" spans="1:19" x14ac:dyDescent="0.25">
      <c r="A27" s="133" t="s">
        <v>94</v>
      </c>
      <c r="B27" s="128" t="s">
        <v>360</v>
      </c>
      <c r="C27" s="129"/>
      <c r="D27" s="129"/>
      <c r="E27" s="129"/>
      <c r="F27" s="129"/>
      <c r="G27" s="129"/>
      <c r="H27" s="129"/>
      <c r="I27" s="133" t="s">
        <v>94</v>
      </c>
      <c r="J27" s="128" t="s">
        <v>360</v>
      </c>
      <c r="K27" s="130"/>
      <c r="L27" s="133"/>
      <c r="M27" s="133"/>
      <c r="N27" s="130"/>
      <c r="O27" s="130"/>
      <c r="P27" s="130"/>
      <c r="Q27" s="130"/>
      <c r="R27" s="130"/>
      <c r="S27" s="130"/>
    </row>
    <row r="28" spans="1:19" x14ac:dyDescent="0.25">
      <c r="A28" s="133" t="s">
        <v>382</v>
      </c>
      <c r="B28" s="128" t="s">
        <v>383</v>
      </c>
      <c r="C28" s="129">
        <v>140</v>
      </c>
      <c r="D28" s="129">
        <v>70</v>
      </c>
      <c r="E28" s="129">
        <v>56</v>
      </c>
      <c r="F28" s="129">
        <f t="shared" si="0"/>
        <v>98</v>
      </c>
      <c r="G28" s="129">
        <f t="shared" si="0"/>
        <v>49</v>
      </c>
      <c r="H28" s="129">
        <f t="shared" si="0"/>
        <v>39.199999999999996</v>
      </c>
      <c r="I28" s="133" t="s">
        <v>382</v>
      </c>
      <c r="J28" s="128" t="s">
        <v>383</v>
      </c>
      <c r="K28" s="130">
        <f>140*1.1</f>
        <v>154</v>
      </c>
      <c r="L28" s="130">
        <f>70*1.1</f>
        <v>77</v>
      </c>
      <c r="M28" s="130">
        <f>56*1.1</f>
        <v>61.600000000000009</v>
      </c>
      <c r="N28" s="130">
        <f t="shared" si="1"/>
        <v>107.8</v>
      </c>
      <c r="O28" s="130">
        <f t="shared" si="1"/>
        <v>53.9</v>
      </c>
      <c r="P28" s="130">
        <f t="shared" si="1"/>
        <v>43.120000000000005</v>
      </c>
      <c r="Q28" s="130">
        <f t="shared" si="2"/>
        <v>9.9999999999999858</v>
      </c>
      <c r="R28" s="130">
        <f t="shared" si="2"/>
        <v>9.9999999999999858</v>
      </c>
      <c r="S28" s="130">
        <f t="shared" si="2"/>
        <v>10.000000000000028</v>
      </c>
    </row>
    <row r="29" spans="1:19" x14ac:dyDescent="0.25">
      <c r="A29" s="133" t="s">
        <v>384</v>
      </c>
      <c r="B29" s="128" t="s">
        <v>365</v>
      </c>
      <c r="C29" s="129">
        <v>110</v>
      </c>
      <c r="D29" s="129">
        <v>55</v>
      </c>
      <c r="E29" s="129">
        <v>25</v>
      </c>
      <c r="F29" s="129">
        <f t="shared" si="0"/>
        <v>77</v>
      </c>
      <c r="G29" s="129">
        <f t="shared" si="0"/>
        <v>38.5</v>
      </c>
      <c r="H29" s="129">
        <f t="shared" si="0"/>
        <v>17.5</v>
      </c>
      <c r="I29" s="133" t="s">
        <v>384</v>
      </c>
      <c r="J29" s="128" t="s">
        <v>365</v>
      </c>
      <c r="K29" s="130">
        <f>110*1.1</f>
        <v>121.00000000000001</v>
      </c>
      <c r="L29" s="130">
        <f>55*1.1</f>
        <v>60.500000000000007</v>
      </c>
      <c r="M29" s="130">
        <f>25*1.1</f>
        <v>27.500000000000004</v>
      </c>
      <c r="N29" s="130">
        <f t="shared" si="1"/>
        <v>84.7</v>
      </c>
      <c r="O29" s="130">
        <f t="shared" si="1"/>
        <v>42.35</v>
      </c>
      <c r="P29" s="130">
        <f t="shared" si="1"/>
        <v>19.25</v>
      </c>
      <c r="Q29" s="130">
        <f t="shared" si="2"/>
        <v>10.000000000000014</v>
      </c>
      <c r="R29" s="130">
        <f t="shared" si="2"/>
        <v>10.000000000000014</v>
      </c>
      <c r="S29" s="130">
        <f t="shared" si="2"/>
        <v>10.000000000000014</v>
      </c>
    </row>
    <row r="30" spans="1:19" x14ac:dyDescent="0.25">
      <c r="A30" s="133" t="s">
        <v>95</v>
      </c>
      <c r="B30" s="128" t="s">
        <v>367</v>
      </c>
      <c r="C30" s="129"/>
      <c r="D30" s="129"/>
      <c r="E30" s="129"/>
      <c r="F30" s="129"/>
      <c r="G30" s="129"/>
      <c r="H30" s="129"/>
      <c r="I30" s="133" t="s">
        <v>95</v>
      </c>
      <c r="J30" s="128" t="s">
        <v>367</v>
      </c>
      <c r="K30" s="130"/>
      <c r="L30" s="133"/>
      <c r="M30" s="133"/>
      <c r="N30" s="130"/>
      <c r="O30" s="130"/>
      <c r="P30" s="130"/>
      <c r="Q30" s="130"/>
      <c r="R30" s="130"/>
      <c r="S30" s="130"/>
    </row>
    <row r="31" spans="1:19" x14ac:dyDescent="0.25">
      <c r="A31" s="133" t="s">
        <v>385</v>
      </c>
      <c r="B31" s="86" t="s">
        <v>386</v>
      </c>
      <c r="C31" s="129">
        <v>110</v>
      </c>
      <c r="D31" s="129">
        <v>56</v>
      </c>
      <c r="E31" s="129">
        <v>33</v>
      </c>
      <c r="F31" s="129">
        <f t="shared" si="0"/>
        <v>77</v>
      </c>
      <c r="G31" s="129">
        <f t="shared" si="0"/>
        <v>39.199999999999996</v>
      </c>
      <c r="H31" s="129">
        <f t="shared" si="0"/>
        <v>23.099999999999998</v>
      </c>
      <c r="I31" s="133" t="s">
        <v>385</v>
      </c>
      <c r="J31" s="86" t="s">
        <v>386</v>
      </c>
      <c r="K31" s="130">
        <f>110*1.1</f>
        <v>121.00000000000001</v>
      </c>
      <c r="L31" s="130">
        <f>56*1.1</f>
        <v>61.600000000000009</v>
      </c>
      <c r="M31" s="130">
        <f>33*1.1</f>
        <v>36.300000000000004</v>
      </c>
      <c r="N31" s="130">
        <f t="shared" si="1"/>
        <v>84.7</v>
      </c>
      <c r="O31" s="130">
        <f t="shared" si="1"/>
        <v>43.120000000000005</v>
      </c>
      <c r="P31" s="130">
        <f t="shared" si="1"/>
        <v>25.41</v>
      </c>
      <c r="Q31" s="130">
        <f t="shared" si="2"/>
        <v>10.000000000000014</v>
      </c>
      <c r="R31" s="130">
        <f t="shared" si="2"/>
        <v>10.000000000000028</v>
      </c>
      <c r="S31" s="130">
        <f t="shared" si="2"/>
        <v>10.000000000000014</v>
      </c>
    </row>
    <row r="32" spans="1:19" x14ac:dyDescent="0.25">
      <c r="A32" s="133" t="s">
        <v>387</v>
      </c>
      <c r="B32" s="128" t="s">
        <v>371</v>
      </c>
      <c r="C32" s="129">
        <v>90</v>
      </c>
      <c r="D32" s="129">
        <v>45</v>
      </c>
      <c r="E32" s="129">
        <v>25</v>
      </c>
      <c r="F32" s="129">
        <f t="shared" si="0"/>
        <v>62.999999999999993</v>
      </c>
      <c r="G32" s="129">
        <f t="shared" si="0"/>
        <v>31.499999999999996</v>
      </c>
      <c r="H32" s="129">
        <f t="shared" si="0"/>
        <v>17.5</v>
      </c>
      <c r="I32" s="133" t="s">
        <v>387</v>
      </c>
      <c r="J32" s="128" t="s">
        <v>371</v>
      </c>
      <c r="K32" s="130">
        <f>90*1.1</f>
        <v>99.000000000000014</v>
      </c>
      <c r="L32" s="130">
        <f>45*1.1</f>
        <v>49.500000000000007</v>
      </c>
      <c r="M32" s="130">
        <f>25*1.1</f>
        <v>27.500000000000004</v>
      </c>
      <c r="N32" s="130">
        <f t="shared" si="1"/>
        <v>69.300000000000011</v>
      </c>
      <c r="O32" s="130">
        <f t="shared" si="1"/>
        <v>34.650000000000006</v>
      </c>
      <c r="P32" s="130">
        <f t="shared" si="1"/>
        <v>19.25</v>
      </c>
      <c r="Q32" s="130">
        <f t="shared" si="2"/>
        <v>10.000000000000028</v>
      </c>
      <c r="R32" s="130">
        <f t="shared" si="2"/>
        <v>10.000000000000028</v>
      </c>
      <c r="S32" s="130">
        <f t="shared" si="2"/>
        <v>10.000000000000014</v>
      </c>
    </row>
    <row r="33" spans="1:20" ht="33" x14ac:dyDescent="0.25">
      <c r="A33" s="133" t="s">
        <v>96</v>
      </c>
      <c r="B33" s="128" t="s">
        <v>388</v>
      </c>
      <c r="C33" s="129">
        <v>450</v>
      </c>
      <c r="D33" s="129">
        <v>225</v>
      </c>
      <c r="E33" s="129">
        <v>135</v>
      </c>
      <c r="F33" s="129">
        <f t="shared" si="0"/>
        <v>315</v>
      </c>
      <c r="G33" s="129">
        <f t="shared" si="0"/>
        <v>157.5</v>
      </c>
      <c r="H33" s="129">
        <f t="shared" si="0"/>
        <v>94.5</v>
      </c>
      <c r="I33" s="133" t="s">
        <v>96</v>
      </c>
      <c r="J33" s="128" t="s">
        <v>388</v>
      </c>
      <c r="K33" s="130">
        <f>450*1.1</f>
        <v>495.00000000000006</v>
      </c>
      <c r="L33" s="130">
        <f>225*1.1</f>
        <v>247.50000000000003</v>
      </c>
      <c r="M33" s="130">
        <f>135*1.1</f>
        <v>148.5</v>
      </c>
      <c r="N33" s="130">
        <f t="shared" si="1"/>
        <v>346.5</v>
      </c>
      <c r="O33" s="130">
        <f t="shared" si="1"/>
        <v>173.25</v>
      </c>
      <c r="P33" s="130">
        <f t="shared" si="1"/>
        <v>103.94999999999999</v>
      </c>
      <c r="Q33" s="130">
        <f t="shared" si="2"/>
        <v>10.000000000000014</v>
      </c>
      <c r="R33" s="130">
        <f t="shared" si="2"/>
        <v>10.000000000000014</v>
      </c>
      <c r="S33" s="130">
        <f t="shared" si="2"/>
        <v>9.9999999999999858</v>
      </c>
    </row>
    <row r="34" spans="1:20" ht="33" x14ac:dyDescent="0.25">
      <c r="A34" s="133" t="s">
        <v>97</v>
      </c>
      <c r="B34" s="128" t="s">
        <v>389</v>
      </c>
      <c r="C34" s="129">
        <v>350</v>
      </c>
      <c r="D34" s="129">
        <v>175</v>
      </c>
      <c r="E34" s="129">
        <v>105</v>
      </c>
      <c r="F34" s="129">
        <f t="shared" si="0"/>
        <v>244.99999999999997</v>
      </c>
      <c r="G34" s="129">
        <f t="shared" si="0"/>
        <v>122.49999999999999</v>
      </c>
      <c r="H34" s="129">
        <f t="shared" si="0"/>
        <v>73.5</v>
      </c>
      <c r="I34" s="133" t="s">
        <v>97</v>
      </c>
      <c r="J34" s="128" t="s">
        <v>389</v>
      </c>
      <c r="K34" s="130">
        <f>350*1.1</f>
        <v>385.00000000000006</v>
      </c>
      <c r="L34" s="130">
        <f>175*1.1</f>
        <v>192.50000000000003</v>
      </c>
      <c r="M34" s="130">
        <f>105*1.1</f>
        <v>115.50000000000001</v>
      </c>
      <c r="N34" s="130">
        <f t="shared" si="1"/>
        <v>269.5</v>
      </c>
      <c r="O34" s="130">
        <f t="shared" si="1"/>
        <v>134.75</v>
      </c>
      <c r="P34" s="130">
        <f t="shared" si="1"/>
        <v>80.850000000000009</v>
      </c>
      <c r="Q34" s="130">
        <f t="shared" si="2"/>
        <v>10.000000000000014</v>
      </c>
      <c r="R34" s="130">
        <f t="shared" si="2"/>
        <v>10.000000000000014</v>
      </c>
      <c r="S34" s="130">
        <f t="shared" si="2"/>
        <v>10.000000000000014</v>
      </c>
    </row>
    <row r="35" spans="1:20" ht="49.5" x14ac:dyDescent="0.25">
      <c r="A35" s="133" t="s">
        <v>99</v>
      </c>
      <c r="B35" s="128" t="s">
        <v>390</v>
      </c>
      <c r="C35" s="129">
        <v>450</v>
      </c>
      <c r="D35" s="129">
        <v>225</v>
      </c>
      <c r="E35" s="129">
        <v>135</v>
      </c>
      <c r="F35" s="129">
        <f t="shared" si="0"/>
        <v>315</v>
      </c>
      <c r="G35" s="129">
        <f t="shared" si="0"/>
        <v>157.5</v>
      </c>
      <c r="H35" s="129">
        <f t="shared" si="0"/>
        <v>94.5</v>
      </c>
      <c r="I35" s="133" t="s">
        <v>99</v>
      </c>
      <c r="J35" s="128" t="s">
        <v>391</v>
      </c>
      <c r="K35" s="130">
        <f>450*1.1</f>
        <v>495.00000000000006</v>
      </c>
      <c r="L35" s="130">
        <f>225*1.1</f>
        <v>247.50000000000003</v>
      </c>
      <c r="M35" s="130">
        <f>135*1.1</f>
        <v>148.5</v>
      </c>
      <c r="N35" s="130">
        <f t="shared" si="1"/>
        <v>346.5</v>
      </c>
      <c r="O35" s="130">
        <f t="shared" si="1"/>
        <v>173.25</v>
      </c>
      <c r="P35" s="130">
        <f t="shared" si="1"/>
        <v>103.94999999999999</v>
      </c>
      <c r="Q35" s="130">
        <f t="shared" si="2"/>
        <v>10.000000000000014</v>
      </c>
      <c r="R35" s="130">
        <f t="shared" si="2"/>
        <v>10.000000000000014</v>
      </c>
      <c r="S35" s="130">
        <f t="shared" si="2"/>
        <v>9.9999999999999858</v>
      </c>
      <c r="T35" s="131"/>
    </row>
    <row r="36" spans="1:20" s="125" customFormat="1" x14ac:dyDescent="0.25">
      <c r="A36" s="124">
        <v>3</v>
      </c>
      <c r="B36" s="126" t="s">
        <v>392</v>
      </c>
      <c r="C36" s="137"/>
      <c r="D36" s="137"/>
      <c r="E36" s="137"/>
      <c r="F36" s="129"/>
      <c r="G36" s="129"/>
      <c r="H36" s="129"/>
      <c r="I36" s="124">
        <v>3</v>
      </c>
      <c r="J36" s="126" t="s">
        <v>392</v>
      </c>
      <c r="K36" s="136"/>
      <c r="L36" s="124"/>
      <c r="M36" s="124"/>
      <c r="N36" s="130"/>
      <c r="O36" s="130"/>
      <c r="P36" s="130"/>
      <c r="Q36" s="130"/>
      <c r="R36" s="130"/>
      <c r="S36" s="130"/>
    </row>
    <row r="37" spans="1:20" x14ac:dyDescent="0.25">
      <c r="A37" s="133" t="s">
        <v>18</v>
      </c>
      <c r="B37" s="128" t="s">
        <v>360</v>
      </c>
      <c r="C37" s="129"/>
      <c r="D37" s="129"/>
      <c r="E37" s="129"/>
      <c r="F37" s="129"/>
      <c r="G37" s="129"/>
      <c r="H37" s="129"/>
      <c r="I37" s="133" t="s">
        <v>18</v>
      </c>
      <c r="J37" s="128" t="s">
        <v>360</v>
      </c>
      <c r="K37" s="130"/>
      <c r="L37" s="133"/>
      <c r="M37" s="133"/>
      <c r="N37" s="130"/>
      <c r="O37" s="130"/>
      <c r="P37" s="130"/>
      <c r="Q37" s="130"/>
      <c r="R37" s="130"/>
      <c r="S37" s="130"/>
    </row>
    <row r="38" spans="1:20" x14ac:dyDescent="0.25">
      <c r="A38" s="133" t="s">
        <v>393</v>
      </c>
      <c r="B38" s="128" t="s">
        <v>383</v>
      </c>
      <c r="C38" s="129">
        <v>120</v>
      </c>
      <c r="D38" s="129">
        <v>70</v>
      </c>
      <c r="E38" s="129">
        <v>56</v>
      </c>
      <c r="F38" s="129">
        <f t="shared" si="0"/>
        <v>84</v>
      </c>
      <c r="G38" s="129">
        <f t="shared" si="0"/>
        <v>49</v>
      </c>
      <c r="H38" s="129">
        <f t="shared" si="0"/>
        <v>39.199999999999996</v>
      </c>
      <c r="I38" s="133" t="s">
        <v>393</v>
      </c>
      <c r="J38" s="128" t="s">
        <v>383</v>
      </c>
      <c r="K38" s="130">
        <f>120*1.1</f>
        <v>132</v>
      </c>
      <c r="L38" s="130">
        <f>70*1.1</f>
        <v>77</v>
      </c>
      <c r="M38" s="130">
        <f>56*1.1</f>
        <v>61.600000000000009</v>
      </c>
      <c r="N38" s="130">
        <f t="shared" si="1"/>
        <v>92.399999999999991</v>
      </c>
      <c r="O38" s="130">
        <f t="shared" si="1"/>
        <v>53.9</v>
      </c>
      <c r="P38" s="130">
        <f t="shared" si="1"/>
        <v>43.120000000000005</v>
      </c>
      <c r="Q38" s="130">
        <f t="shared" si="2"/>
        <v>9.9999999999999858</v>
      </c>
      <c r="R38" s="130">
        <f t="shared" si="2"/>
        <v>9.9999999999999858</v>
      </c>
      <c r="S38" s="130">
        <f t="shared" si="2"/>
        <v>10.000000000000028</v>
      </c>
    </row>
    <row r="39" spans="1:20" x14ac:dyDescent="0.25">
      <c r="A39" s="133" t="s">
        <v>394</v>
      </c>
      <c r="B39" s="128" t="s">
        <v>365</v>
      </c>
      <c r="C39" s="129">
        <v>110</v>
      </c>
      <c r="D39" s="129">
        <v>55</v>
      </c>
      <c r="E39" s="129">
        <v>25</v>
      </c>
      <c r="F39" s="129">
        <f t="shared" si="0"/>
        <v>77</v>
      </c>
      <c r="G39" s="129">
        <f t="shared" si="0"/>
        <v>38.5</v>
      </c>
      <c r="H39" s="129">
        <f t="shared" si="0"/>
        <v>17.5</v>
      </c>
      <c r="I39" s="133" t="s">
        <v>394</v>
      </c>
      <c r="J39" s="128" t="s">
        <v>365</v>
      </c>
      <c r="K39" s="130">
        <f>110*1.1</f>
        <v>121.00000000000001</v>
      </c>
      <c r="L39" s="130">
        <f>55*1.1</f>
        <v>60.500000000000007</v>
      </c>
      <c r="M39" s="130">
        <f>25*1.1</f>
        <v>27.500000000000004</v>
      </c>
      <c r="N39" s="130">
        <f t="shared" si="1"/>
        <v>84.7</v>
      </c>
      <c r="O39" s="130">
        <f t="shared" si="1"/>
        <v>42.35</v>
      </c>
      <c r="P39" s="130">
        <f t="shared" si="1"/>
        <v>19.25</v>
      </c>
      <c r="Q39" s="130">
        <f t="shared" si="2"/>
        <v>10.000000000000014</v>
      </c>
      <c r="R39" s="130">
        <f t="shared" si="2"/>
        <v>10.000000000000014</v>
      </c>
      <c r="S39" s="130">
        <f t="shared" si="2"/>
        <v>10.000000000000014</v>
      </c>
    </row>
    <row r="40" spans="1:20" x14ac:dyDescent="0.25">
      <c r="A40" s="133" t="s">
        <v>19</v>
      </c>
      <c r="B40" s="128" t="s">
        <v>367</v>
      </c>
      <c r="C40" s="129"/>
      <c r="D40" s="129"/>
      <c r="E40" s="129"/>
      <c r="F40" s="129"/>
      <c r="G40" s="129"/>
      <c r="H40" s="129"/>
      <c r="I40" s="133" t="s">
        <v>19</v>
      </c>
      <c r="J40" s="128" t="s">
        <v>367</v>
      </c>
      <c r="K40" s="130"/>
      <c r="L40" s="130"/>
      <c r="M40" s="130"/>
      <c r="N40" s="130"/>
      <c r="O40" s="130"/>
      <c r="P40" s="130"/>
      <c r="Q40" s="130"/>
      <c r="R40" s="130"/>
      <c r="S40" s="130"/>
    </row>
    <row r="41" spans="1:20" x14ac:dyDescent="0.25">
      <c r="A41" s="133" t="s">
        <v>395</v>
      </c>
      <c r="B41" s="128" t="s">
        <v>386</v>
      </c>
      <c r="C41" s="129">
        <v>110</v>
      </c>
      <c r="D41" s="129">
        <v>56</v>
      </c>
      <c r="E41" s="129">
        <v>33</v>
      </c>
      <c r="F41" s="129">
        <f t="shared" si="0"/>
        <v>77</v>
      </c>
      <c r="G41" s="129">
        <f t="shared" si="0"/>
        <v>39.199999999999996</v>
      </c>
      <c r="H41" s="129">
        <f t="shared" si="0"/>
        <v>23.099999999999998</v>
      </c>
      <c r="I41" s="133" t="s">
        <v>395</v>
      </c>
      <c r="J41" s="128" t="s">
        <v>386</v>
      </c>
      <c r="K41" s="130">
        <f>110*1.1</f>
        <v>121.00000000000001</v>
      </c>
      <c r="L41" s="130">
        <f>56*1.1</f>
        <v>61.600000000000009</v>
      </c>
      <c r="M41" s="130">
        <f>33*1.1</f>
        <v>36.300000000000004</v>
      </c>
      <c r="N41" s="130">
        <f t="shared" si="1"/>
        <v>84.7</v>
      </c>
      <c r="O41" s="130">
        <f t="shared" si="1"/>
        <v>43.120000000000005</v>
      </c>
      <c r="P41" s="130">
        <f t="shared" si="1"/>
        <v>25.41</v>
      </c>
      <c r="Q41" s="130">
        <f t="shared" si="2"/>
        <v>10.000000000000014</v>
      </c>
      <c r="R41" s="130">
        <f t="shared" si="2"/>
        <v>10.000000000000028</v>
      </c>
      <c r="S41" s="130">
        <f t="shared" si="2"/>
        <v>10.000000000000014</v>
      </c>
    </row>
    <row r="42" spans="1:20" x14ac:dyDescent="0.25">
      <c r="A42" s="133" t="s">
        <v>396</v>
      </c>
      <c r="B42" s="128" t="s">
        <v>371</v>
      </c>
      <c r="C42" s="129">
        <v>90</v>
      </c>
      <c r="D42" s="129">
        <v>45</v>
      </c>
      <c r="E42" s="129">
        <v>25</v>
      </c>
      <c r="F42" s="129">
        <f t="shared" si="0"/>
        <v>62.999999999999993</v>
      </c>
      <c r="G42" s="129">
        <f t="shared" si="0"/>
        <v>31.499999999999996</v>
      </c>
      <c r="H42" s="129">
        <f t="shared" si="0"/>
        <v>17.5</v>
      </c>
      <c r="I42" s="133" t="s">
        <v>396</v>
      </c>
      <c r="J42" s="128" t="s">
        <v>371</v>
      </c>
      <c r="K42" s="130">
        <f>90*1.1</f>
        <v>99.000000000000014</v>
      </c>
      <c r="L42" s="130">
        <f>45*1.1</f>
        <v>49.500000000000007</v>
      </c>
      <c r="M42" s="130">
        <f>25*1.1</f>
        <v>27.500000000000004</v>
      </c>
      <c r="N42" s="130">
        <f t="shared" si="1"/>
        <v>69.300000000000011</v>
      </c>
      <c r="O42" s="130">
        <f t="shared" si="1"/>
        <v>34.650000000000006</v>
      </c>
      <c r="P42" s="130">
        <f t="shared" si="1"/>
        <v>19.25</v>
      </c>
      <c r="Q42" s="130">
        <f t="shared" si="2"/>
        <v>10.000000000000028</v>
      </c>
      <c r="R42" s="130">
        <f t="shared" si="2"/>
        <v>10.000000000000028</v>
      </c>
      <c r="S42" s="130">
        <f t="shared" si="2"/>
        <v>10.000000000000014</v>
      </c>
    </row>
    <row r="43" spans="1:20" ht="49.5" x14ac:dyDescent="0.25">
      <c r="A43" s="127" t="s">
        <v>20</v>
      </c>
      <c r="B43" s="128" t="s">
        <v>397</v>
      </c>
      <c r="C43" s="129">
        <v>800</v>
      </c>
      <c r="D43" s="129">
        <v>400</v>
      </c>
      <c r="E43" s="129">
        <v>240</v>
      </c>
      <c r="F43" s="129">
        <f t="shared" si="0"/>
        <v>560</v>
      </c>
      <c r="G43" s="129">
        <f t="shared" si="0"/>
        <v>280</v>
      </c>
      <c r="H43" s="129">
        <f t="shared" si="0"/>
        <v>168</v>
      </c>
      <c r="I43" s="127" t="s">
        <v>20</v>
      </c>
      <c r="J43" s="128" t="s">
        <v>397</v>
      </c>
      <c r="K43" s="130">
        <f>800*1.1</f>
        <v>880.00000000000011</v>
      </c>
      <c r="L43" s="130">
        <f>400*1.1</f>
        <v>440.00000000000006</v>
      </c>
      <c r="M43" s="130">
        <f>240*1.1</f>
        <v>264</v>
      </c>
      <c r="N43" s="130">
        <f t="shared" si="1"/>
        <v>616</v>
      </c>
      <c r="O43" s="130">
        <f t="shared" si="1"/>
        <v>308</v>
      </c>
      <c r="P43" s="130">
        <f t="shared" si="1"/>
        <v>184.79999999999998</v>
      </c>
      <c r="Q43" s="130">
        <f t="shared" si="2"/>
        <v>10.000000000000014</v>
      </c>
      <c r="R43" s="130">
        <f t="shared" si="2"/>
        <v>10.000000000000014</v>
      </c>
      <c r="S43" s="130">
        <f t="shared" si="2"/>
        <v>9.9999999999999858</v>
      </c>
    </row>
    <row r="44" spans="1:20" ht="33" x14ac:dyDescent="0.25">
      <c r="A44" s="133" t="s">
        <v>21</v>
      </c>
      <c r="B44" s="128" t="s">
        <v>398</v>
      </c>
      <c r="C44" s="129"/>
      <c r="D44" s="129"/>
      <c r="E44" s="129"/>
      <c r="F44" s="129"/>
      <c r="G44" s="129"/>
      <c r="H44" s="129"/>
      <c r="I44" s="133" t="s">
        <v>21</v>
      </c>
      <c r="J44" s="128" t="s">
        <v>398</v>
      </c>
      <c r="K44" s="130"/>
      <c r="L44" s="133"/>
      <c r="M44" s="133"/>
      <c r="N44" s="130"/>
      <c r="O44" s="130"/>
      <c r="P44" s="130"/>
      <c r="Q44" s="130"/>
      <c r="R44" s="130"/>
      <c r="S44" s="130"/>
    </row>
    <row r="45" spans="1:20" ht="66" x14ac:dyDescent="0.25">
      <c r="A45" s="133" t="s">
        <v>399</v>
      </c>
      <c r="B45" s="128" t="s">
        <v>400</v>
      </c>
      <c r="C45" s="129">
        <v>800</v>
      </c>
      <c r="D45" s="129">
        <v>400</v>
      </c>
      <c r="E45" s="129">
        <v>240</v>
      </c>
      <c r="F45" s="129">
        <f t="shared" si="0"/>
        <v>560</v>
      </c>
      <c r="G45" s="129">
        <f t="shared" si="0"/>
        <v>280</v>
      </c>
      <c r="H45" s="129">
        <f t="shared" si="0"/>
        <v>168</v>
      </c>
      <c r="I45" s="133" t="s">
        <v>399</v>
      </c>
      <c r="J45" s="128" t="s">
        <v>400</v>
      </c>
      <c r="K45" s="130">
        <f>800*1.1</f>
        <v>880.00000000000011</v>
      </c>
      <c r="L45" s="130">
        <f>400*1.1</f>
        <v>440.00000000000006</v>
      </c>
      <c r="M45" s="130">
        <f>240*1.1</f>
        <v>264</v>
      </c>
      <c r="N45" s="130">
        <f t="shared" si="1"/>
        <v>616</v>
      </c>
      <c r="O45" s="130">
        <f t="shared" si="1"/>
        <v>308</v>
      </c>
      <c r="P45" s="130">
        <f t="shared" si="1"/>
        <v>184.79999999999998</v>
      </c>
      <c r="Q45" s="130">
        <f t="shared" si="2"/>
        <v>10.000000000000014</v>
      </c>
      <c r="R45" s="130">
        <f t="shared" si="2"/>
        <v>10.000000000000014</v>
      </c>
      <c r="S45" s="130">
        <f t="shared" si="2"/>
        <v>9.9999999999999858</v>
      </c>
    </row>
    <row r="46" spans="1:20" ht="82.5" x14ac:dyDescent="0.25">
      <c r="A46" s="127" t="s">
        <v>401</v>
      </c>
      <c r="B46" s="128" t="s">
        <v>402</v>
      </c>
      <c r="C46" s="129">
        <v>1000</v>
      </c>
      <c r="D46" s="129">
        <v>500</v>
      </c>
      <c r="E46" s="129">
        <v>300</v>
      </c>
      <c r="F46" s="129">
        <f t="shared" si="0"/>
        <v>700</v>
      </c>
      <c r="G46" s="129">
        <f t="shared" si="0"/>
        <v>350</v>
      </c>
      <c r="H46" s="129">
        <f t="shared" si="0"/>
        <v>210</v>
      </c>
      <c r="I46" s="127" t="s">
        <v>401</v>
      </c>
      <c r="J46" s="128" t="s">
        <v>402</v>
      </c>
      <c r="K46" s="130">
        <f>1000*1.1</f>
        <v>1100</v>
      </c>
      <c r="L46" s="130">
        <f>500*1.1</f>
        <v>550</v>
      </c>
      <c r="M46" s="130">
        <f>300*1.1</f>
        <v>330</v>
      </c>
      <c r="N46" s="130">
        <f t="shared" si="1"/>
        <v>770</v>
      </c>
      <c r="O46" s="130">
        <f t="shared" si="1"/>
        <v>385</v>
      </c>
      <c r="P46" s="130">
        <f t="shared" si="1"/>
        <v>230.99999999999997</v>
      </c>
      <c r="Q46" s="130">
        <f t="shared" si="2"/>
        <v>10.000000000000014</v>
      </c>
      <c r="R46" s="130">
        <f t="shared" si="2"/>
        <v>10.000000000000014</v>
      </c>
      <c r="S46" s="130">
        <f t="shared" si="2"/>
        <v>9.9999999999999858</v>
      </c>
    </row>
    <row r="47" spans="1:20" ht="66" x14ac:dyDescent="0.25">
      <c r="A47" s="127" t="s">
        <v>403</v>
      </c>
      <c r="B47" s="128" t="s">
        <v>404</v>
      </c>
      <c r="C47" s="129">
        <v>900</v>
      </c>
      <c r="D47" s="129">
        <v>450</v>
      </c>
      <c r="E47" s="129">
        <v>270</v>
      </c>
      <c r="F47" s="129">
        <f t="shared" si="0"/>
        <v>630</v>
      </c>
      <c r="G47" s="129">
        <f t="shared" si="0"/>
        <v>315</v>
      </c>
      <c r="H47" s="129">
        <f t="shared" si="0"/>
        <v>189</v>
      </c>
      <c r="I47" s="127" t="s">
        <v>403</v>
      </c>
      <c r="J47" s="128" t="s">
        <v>404</v>
      </c>
      <c r="K47" s="130">
        <f>900*1.1</f>
        <v>990.00000000000011</v>
      </c>
      <c r="L47" s="130">
        <f>450*1.1</f>
        <v>495.00000000000006</v>
      </c>
      <c r="M47" s="130">
        <f>270*1.1</f>
        <v>297</v>
      </c>
      <c r="N47" s="130">
        <f t="shared" si="1"/>
        <v>693</v>
      </c>
      <c r="O47" s="130">
        <f t="shared" si="1"/>
        <v>346.5</v>
      </c>
      <c r="P47" s="130">
        <f t="shared" si="1"/>
        <v>207.89999999999998</v>
      </c>
      <c r="Q47" s="130">
        <f t="shared" si="2"/>
        <v>10.000000000000014</v>
      </c>
      <c r="R47" s="130">
        <f t="shared" si="2"/>
        <v>10.000000000000014</v>
      </c>
      <c r="S47" s="130">
        <f t="shared" si="2"/>
        <v>9.9999999999999858</v>
      </c>
    </row>
    <row r="48" spans="1:20" ht="33" x14ac:dyDescent="0.25">
      <c r="A48" s="127" t="s">
        <v>405</v>
      </c>
      <c r="B48" s="128" t="s">
        <v>406</v>
      </c>
      <c r="C48" s="129">
        <v>250</v>
      </c>
      <c r="D48" s="129">
        <v>125</v>
      </c>
      <c r="E48" s="129">
        <v>75</v>
      </c>
      <c r="F48" s="129">
        <f t="shared" si="0"/>
        <v>175</v>
      </c>
      <c r="G48" s="129">
        <f t="shared" si="0"/>
        <v>87.5</v>
      </c>
      <c r="H48" s="129">
        <f t="shared" si="0"/>
        <v>52.5</v>
      </c>
      <c r="I48" s="127" t="s">
        <v>405</v>
      </c>
      <c r="J48" s="128" t="s">
        <v>406</v>
      </c>
      <c r="K48" s="130">
        <f>250*1.1</f>
        <v>275</v>
      </c>
      <c r="L48" s="130">
        <f>125*1.1</f>
        <v>137.5</v>
      </c>
      <c r="M48" s="130">
        <f>75*1.1</f>
        <v>82.5</v>
      </c>
      <c r="N48" s="130">
        <f t="shared" si="1"/>
        <v>192.5</v>
      </c>
      <c r="O48" s="130">
        <f t="shared" si="1"/>
        <v>96.25</v>
      </c>
      <c r="P48" s="130">
        <f t="shared" si="1"/>
        <v>57.749999999999993</v>
      </c>
      <c r="Q48" s="130">
        <f t="shared" si="2"/>
        <v>10.000000000000014</v>
      </c>
      <c r="R48" s="130">
        <f t="shared" si="2"/>
        <v>10.000000000000014</v>
      </c>
      <c r="S48" s="130">
        <f t="shared" si="2"/>
        <v>9.9999999999999858</v>
      </c>
    </row>
    <row r="49" spans="1:20" ht="33" x14ac:dyDescent="0.25">
      <c r="A49" s="127" t="s">
        <v>407</v>
      </c>
      <c r="B49" s="128" t="s">
        <v>408</v>
      </c>
      <c r="C49" s="129">
        <v>150</v>
      </c>
      <c r="D49" s="129">
        <v>75</v>
      </c>
      <c r="E49" s="129">
        <v>45</v>
      </c>
      <c r="F49" s="129">
        <f t="shared" si="0"/>
        <v>105</v>
      </c>
      <c r="G49" s="129">
        <f t="shared" si="0"/>
        <v>52.5</v>
      </c>
      <c r="H49" s="129">
        <f t="shared" si="0"/>
        <v>31.499999999999996</v>
      </c>
      <c r="I49" s="127" t="s">
        <v>407</v>
      </c>
      <c r="J49" s="128" t="s">
        <v>408</v>
      </c>
      <c r="K49" s="130">
        <f>150*1.1</f>
        <v>165</v>
      </c>
      <c r="L49" s="130">
        <f>75*1.1</f>
        <v>82.5</v>
      </c>
      <c r="M49" s="130">
        <f>45*1.1</f>
        <v>49.500000000000007</v>
      </c>
      <c r="N49" s="130">
        <f t="shared" si="1"/>
        <v>115.49999999999999</v>
      </c>
      <c r="O49" s="130">
        <f t="shared" si="1"/>
        <v>57.749999999999993</v>
      </c>
      <c r="P49" s="130">
        <f t="shared" si="1"/>
        <v>34.650000000000006</v>
      </c>
      <c r="Q49" s="130">
        <f t="shared" si="2"/>
        <v>9.9999999999999858</v>
      </c>
      <c r="R49" s="130">
        <f t="shared" si="2"/>
        <v>9.9999999999999858</v>
      </c>
      <c r="S49" s="130">
        <f t="shared" si="2"/>
        <v>10.000000000000028</v>
      </c>
    </row>
    <row r="50" spans="1:20" ht="33" x14ac:dyDescent="0.25">
      <c r="A50" s="127" t="s">
        <v>409</v>
      </c>
      <c r="B50" s="128" t="s">
        <v>410</v>
      </c>
      <c r="C50" s="129">
        <v>300</v>
      </c>
      <c r="D50" s="129">
        <v>150</v>
      </c>
      <c r="E50" s="129">
        <v>90</v>
      </c>
      <c r="F50" s="129">
        <f t="shared" si="0"/>
        <v>210</v>
      </c>
      <c r="G50" s="129">
        <f t="shared" si="0"/>
        <v>105</v>
      </c>
      <c r="H50" s="129">
        <f t="shared" si="0"/>
        <v>62.999999999999993</v>
      </c>
      <c r="I50" s="127" t="s">
        <v>409</v>
      </c>
      <c r="J50" s="128" t="s">
        <v>410</v>
      </c>
      <c r="K50" s="130">
        <f>300*1.1</f>
        <v>330</v>
      </c>
      <c r="L50" s="130">
        <f>150*1.1</f>
        <v>165</v>
      </c>
      <c r="M50" s="130">
        <f>90*1.1</f>
        <v>99.000000000000014</v>
      </c>
      <c r="N50" s="130">
        <f t="shared" si="1"/>
        <v>230.99999999999997</v>
      </c>
      <c r="O50" s="130">
        <f t="shared" si="1"/>
        <v>115.49999999999999</v>
      </c>
      <c r="P50" s="130">
        <f t="shared" si="1"/>
        <v>69.300000000000011</v>
      </c>
      <c r="Q50" s="130">
        <f t="shared" si="2"/>
        <v>9.9999999999999858</v>
      </c>
      <c r="R50" s="130">
        <f t="shared" si="2"/>
        <v>9.9999999999999858</v>
      </c>
      <c r="S50" s="130">
        <f t="shared" si="2"/>
        <v>10.000000000000028</v>
      </c>
    </row>
    <row r="51" spans="1:20" s="125" customFormat="1" x14ac:dyDescent="0.25">
      <c r="A51" s="124">
        <v>4</v>
      </c>
      <c r="B51" s="126" t="s">
        <v>411</v>
      </c>
      <c r="C51" s="137"/>
      <c r="D51" s="137"/>
      <c r="E51" s="137"/>
      <c r="F51" s="129"/>
      <c r="G51" s="129"/>
      <c r="H51" s="129"/>
      <c r="I51" s="124">
        <v>4</v>
      </c>
      <c r="J51" s="126" t="s">
        <v>411</v>
      </c>
      <c r="K51" s="136"/>
      <c r="L51" s="124"/>
      <c r="M51" s="124"/>
      <c r="N51" s="130"/>
      <c r="O51" s="130"/>
      <c r="P51" s="130"/>
      <c r="Q51" s="130"/>
      <c r="R51" s="130"/>
      <c r="S51" s="130"/>
    </row>
    <row r="52" spans="1:20" ht="33" x14ac:dyDescent="0.25">
      <c r="A52" s="133" t="s">
        <v>10</v>
      </c>
      <c r="B52" s="128" t="s">
        <v>412</v>
      </c>
      <c r="C52" s="129"/>
      <c r="D52" s="129"/>
      <c r="E52" s="129"/>
      <c r="F52" s="129"/>
      <c r="G52" s="129"/>
      <c r="H52" s="129"/>
      <c r="I52" s="133" t="s">
        <v>10</v>
      </c>
      <c r="J52" s="128" t="s">
        <v>412</v>
      </c>
      <c r="K52" s="130"/>
      <c r="L52" s="133"/>
      <c r="M52" s="133"/>
      <c r="N52" s="130"/>
      <c r="O52" s="130"/>
      <c r="P52" s="130"/>
      <c r="Q52" s="130"/>
      <c r="R52" s="130"/>
      <c r="S52" s="130"/>
    </row>
    <row r="53" spans="1:20" ht="49.5" x14ac:dyDescent="0.25">
      <c r="A53" s="133" t="s">
        <v>413</v>
      </c>
      <c r="B53" s="128" t="s">
        <v>414</v>
      </c>
      <c r="C53" s="129">
        <v>1500</v>
      </c>
      <c r="D53" s="129">
        <v>750</v>
      </c>
      <c r="E53" s="129">
        <v>450</v>
      </c>
      <c r="F53" s="129">
        <f t="shared" si="0"/>
        <v>1050</v>
      </c>
      <c r="G53" s="129">
        <f t="shared" si="0"/>
        <v>525</v>
      </c>
      <c r="H53" s="129">
        <f t="shared" si="0"/>
        <v>315</v>
      </c>
      <c r="I53" s="130" t="s">
        <v>413</v>
      </c>
      <c r="J53" s="128" t="s">
        <v>414</v>
      </c>
      <c r="K53" s="138">
        <v>2944</v>
      </c>
      <c r="L53" s="130">
        <f>2944*50%</f>
        <v>1472</v>
      </c>
      <c r="M53" s="130">
        <f>2944*30%</f>
        <v>883.19999999999993</v>
      </c>
      <c r="N53" s="130">
        <f t="shared" si="1"/>
        <v>2060.7999999999997</v>
      </c>
      <c r="O53" s="130">
        <f t="shared" si="1"/>
        <v>1030.3999999999999</v>
      </c>
      <c r="P53" s="130">
        <f t="shared" si="1"/>
        <v>618.2399999999999</v>
      </c>
      <c r="Q53" s="130">
        <f t="shared" si="2"/>
        <v>96.266666666666623</v>
      </c>
      <c r="R53" s="130">
        <f t="shared" si="2"/>
        <v>96.266666666666623</v>
      </c>
      <c r="S53" s="130">
        <f t="shared" si="2"/>
        <v>96.266666666666623</v>
      </c>
      <c r="T53" s="139"/>
    </row>
    <row r="54" spans="1:20" ht="33" x14ac:dyDescent="0.25">
      <c r="A54" s="133" t="s">
        <v>415</v>
      </c>
      <c r="B54" s="128" t="s">
        <v>416</v>
      </c>
      <c r="C54" s="129">
        <v>2700</v>
      </c>
      <c r="D54" s="129">
        <v>1350</v>
      </c>
      <c r="E54" s="129">
        <v>810</v>
      </c>
      <c r="F54" s="129">
        <f t="shared" si="0"/>
        <v>1889.9999999999998</v>
      </c>
      <c r="G54" s="129">
        <f t="shared" si="0"/>
        <v>944.99999999999989</v>
      </c>
      <c r="H54" s="129">
        <f t="shared" si="0"/>
        <v>567</v>
      </c>
      <c r="I54" s="133" t="s">
        <v>415</v>
      </c>
      <c r="J54" s="128" t="s">
        <v>417</v>
      </c>
      <c r="K54" s="130">
        <v>3781</v>
      </c>
      <c r="L54" s="130">
        <f>3781*50%</f>
        <v>1890.5</v>
      </c>
      <c r="M54" s="130">
        <f>3781*30%</f>
        <v>1134.3</v>
      </c>
      <c r="N54" s="130">
        <f t="shared" si="1"/>
        <v>2646.7</v>
      </c>
      <c r="O54" s="130">
        <f t="shared" si="1"/>
        <v>1323.35</v>
      </c>
      <c r="P54" s="130">
        <f t="shared" si="1"/>
        <v>794.00999999999988</v>
      </c>
      <c r="Q54" s="130">
        <f t="shared" si="2"/>
        <v>40.037037037037038</v>
      </c>
      <c r="R54" s="130">
        <f t="shared" si="2"/>
        <v>40.037037037037038</v>
      </c>
      <c r="S54" s="130">
        <f t="shared" si="2"/>
        <v>40.03703703703701</v>
      </c>
      <c r="T54" s="139"/>
    </row>
    <row r="55" spans="1:20" ht="49.5" x14ac:dyDescent="0.25">
      <c r="A55" s="133" t="s">
        <v>418</v>
      </c>
      <c r="B55" s="128" t="s">
        <v>419</v>
      </c>
      <c r="C55" s="129">
        <v>5000</v>
      </c>
      <c r="D55" s="129">
        <v>2500</v>
      </c>
      <c r="E55" s="129">
        <v>1500</v>
      </c>
      <c r="F55" s="129">
        <f t="shared" si="0"/>
        <v>3500</v>
      </c>
      <c r="G55" s="129">
        <f t="shared" si="0"/>
        <v>1750</v>
      </c>
      <c r="H55" s="129">
        <f t="shared" si="0"/>
        <v>1050</v>
      </c>
      <c r="I55" s="130" t="s">
        <v>418</v>
      </c>
      <c r="J55" s="128" t="s">
        <v>420</v>
      </c>
      <c r="K55" s="130">
        <f>5000*1.1</f>
        <v>5500</v>
      </c>
      <c r="L55" s="130">
        <f>2500*1.1</f>
        <v>2750</v>
      </c>
      <c r="M55" s="130">
        <f>1500*1.1</f>
        <v>1650.0000000000002</v>
      </c>
      <c r="N55" s="130">
        <f t="shared" si="1"/>
        <v>3849.9999999999995</v>
      </c>
      <c r="O55" s="130">
        <f t="shared" si="1"/>
        <v>1924.9999999999998</v>
      </c>
      <c r="P55" s="130">
        <f t="shared" si="1"/>
        <v>1155</v>
      </c>
      <c r="Q55" s="130">
        <f t="shared" si="2"/>
        <v>9.9999999999999858</v>
      </c>
      <c r="R55" s="130">
        <f t="shared" si="2"/>
        <v>9.9999999999999858</v>
      </c>
      <c r="S55" s="130">
        <f t="shared" si="2"/>
        <v>10.000000000000014</v>
      </c>
    </row>
    <row r="56" spans="1:20" x14ac:dyDescent="0.25">
      <c r="A56" s="127" t="s">
        <v>421</v>
      </c>
      <c r="B56" s="128" t="s">
        <v>422</v>
      </c>
      <c r="C56" s="129">
        <v>2500</v>
      </c>
      <c r="D56" s="129">
        <v>1250</v>
      </c>
      <c r="E56" s="129">
        <v>750</v>
      </c>
      <c r="F56" s="129">
        <f t="shared" si="0"/>
        <v>1750</v>
      </c>
      <c r="G56" s="129">
        <f t="shared" si="0"/>
        <v>875</v>
      </c>
      <c r="H56" s="129">
        <f t="shared" si="0"/>
        <v>525</v>
      </c>
      <c r="I56" s="127" t="s">
        <v>421</v>
      </c>
      <c r="J56" s="128" t="s">
        <v>422</v>
      </c>
      <c r="K56" s="130">
        <f>2500*1.1</f>
        <v>2750</v>
      </c>
      <c r="L56" s="130">
        <f>1250*1.1</f>
        <v>1375</v>
      </c>
      <c r="M56" s="130">
        <f>750*1.1</f>
        <v>825.00000000000011</v>
      </c>
      <c r="N56" s="130">
        <f t="shared" si="1"/>
        <v>1924.9999999999998</v>
      </c>
      <c r="O56" s="130">
        <f t="shared" si="1"/>
        <v>962.49999999999989</v>
      </c>
      <c r="P56" s="130">
        <f t="shared" si="1"/>
        <v>577.5</v>
      </c>
      <c r="Q56" s="130">
        <f t="shared" si="2"/>
        <v>9.9999999999999858</v>
      </c>
      <c r="R56" s="130">
        <f t="shared" si="2"/>
        <v>9.9999999999999858</v>
      </c>
      <c r="S56" s="130">
        <f t="shared" si="2"/>
        <v>10.000000000000014</v>
      </c>
    </row>
    <row r="57" spans="1:20" ht="33" x14ac:dyDescent="0.25">
      <c r="A57" s="127" t="s">
        <v>423</v>
      </c>
      <c r="B57" s="128" t="s">
        <v>424</v>
      </c>
      <c r="C57" s="129">
        <v>2000</v>
      </c>
      <c r="D57" s="129">
        <v>1000</v>
      </c>
      <c r="E57" s="129">
        <v>600</v>
      </c>
      <c r="F57" s="129">
        <f t="shared" si="0"/>
        <v>1400</v>
      </c>
      <c r="G57" s="129">
        <f t="shared" si="0"/>
        <v>700</v>
      </c>
      <c r="H57" s="129">
        <f t="shared" si="0"/>
        <v>420</v>
      </c>
      <c r="I57" s="130" t="s">
        <v>423</v>
      </c>
      <c r="J57" s="128" t="s">
        <v>425</v>
      </c>
      <c r="K57" s="130">
        <f>2000*1.1</f>
        <v>2200</v>
      </c>
      <c r="L57" s="130">
        <f>1000*1.1</f>
        <v>1100</v>
      </c>
      <c r="M57" s="130">
        <f>600*1.1</f>
        <v>660</v>
      </c>
      <c r="N57" s="130">
        <f t="shared" si="1"/>
        <v>1540</v>
      </c>
      <c r="O57" s="130">
        <f t="shared" si="1"/>
        <v>770</v>
      </c>
      <c r="P57" s="130">
        <f t="shared" si="1"/>
        <v>461.99999999999994</v>
      </c>
      <c r="Q57" s="130">
        <f t="shared" si="2"/>
        <v>10.000000000000014</v>
      </c>
      <c r="R57" s="130">
        <f t="shared" si="2"/>
        <v>10.000000000000014</v>
      </c>
      <c r="S57" s="130">
        <f t="shared" si="2"/>
        <v>9.9999999999999858</v>
      </c>
    </row>
    <row r="58" spans="1:20" ht="49.5" x14ac:dyDescent="0.25">
      <c r="A58" s="133" t="s">
        <v>11</v>
      </c>
      <c r="B58" s="128" t="s">
        <v>426</v>
      </c>
      <c r="C58" s="129"/>
      <c r="D58" s="129"/>
      <c r="E58" s="129"/>
      <c r="F58" s="129"/>
      <c r="G58" s="129"/>
      <c r="H58" s="129"/>
      <c r="I58" s="133" t="s">
        <v>11</v>
      </c>
      <c r="J58" s="128" t="s">
        <v>426</v>
      </c>
      <c r="K58" s="130"/>
      <c r="L58" s="130"/>
      <c r="M58" s="130"/>
      <c r="N58" s="130"/>
      <c r="O58" s="130"/>
      <c r="P58" s="130"/>
      <c r="Q58" s="130"/>
      <c r="R58" s="130"/>
      <c r="S58" s="130"/>
    </row>
    <row r="59" spans="1:20" ht="66" x14ac:dyDescent="0.25">
      <c r="A59" s="133" t="s">
        <v>427</v>
      </c>
      <c r="B59" s="128" t="s">
        <v>428</v>
      </c>
      <c r="C59" s="129">
        <v>800</v>
      </c>
      <c r="D59" s="129">
        <v>400</v>
      </c>
      <c r="E59" s="129">
        <v>240</v>
      </c>
      <c r="F59" s="129">
        <f t="shared" si="0"/>
        <v>560</v>
      </c>
      <c r="G59" s="129">
        <f t="shared" si="0"/>
        <v>280</v>
      </c>
      <c r="H59" s="129">
        <f t="shared" si="0"/>
        <v>168</v>
      </c>
      <c r="I59" s="130" t="s">
        <v>427</v>
      </c>
      <c r="J59" s="128" t="s">
        <v>429</v>
      </c>
      <c r="K59" s="130">
        <f>800*1.1</f>
        <v>880.00000000000011</v>
      </c>
      <c r="L59" s="130">
        <f>400*1.1</f>
        <v>440.00000000000006</v>
      </c>
      <c r="M59" s="130">
        <f>240*1.1</f>
        <v>264</v>
      </c>
      <c r="N59" s="130">
        <f t="shared" si="1"/>
        <v>616</v>
      </c>
      <c r="O59" s="130">
        <f t="shared" si="1"/>
        <v>308</v>
      </c>
      <c r="P59" s="130">
        <f t="shared" si="1"/>
        <v>184.79999999999998</v>
      </c>
      <c r="Q59" s="130">
        <f t="shared" si="2"/>
        <v>10.000000000000014</v>
      </c>
      <c r="R59" s="130">
        <f t="shared" si="2"/>
        <v>10.000000000000014</v>
      </c>
      <c r="S59" s="130">
        <f t="shared" si="2"/>
        <v>9.9999999999999858</v>
      </c>
    </row>
    <row r="60" spans="1:20" ht="66" x14ac:dyDescent="0.25">
      <c r="A60" s="133" t="s">
        <v>430</v>
      </c>
      <c r="B60" s="128" t="s">
        <v>431</v>
      </c>
      <c r="C60" s="129">
        <v>700</v>
      </c>
      <c r="D60" s="129">
        <v>350</v>
      </c>
      <c r="E60" s="129">
        <v>210</v>
      </c>
      <c r="F60" s="129">
        <f t="shared" si="0"/>
        <v>489.99999999999994</v>
      </c>
      <c r="G60" s="129">
        <f t="shared" si="0"/>
        <v>244.99999999999997</v>
      </c>
      <c r="H60" s="129">
        <f t="shared" si="0"/>
        <v>147</v>
      </c>
      <c r="I60" s="130" t="s">
        <v>430</v>
      </c>
      <c r="J60" s="128" t="s">
        <v>432</v>
      </c>
      <c r="K60" s="130">
        <f>700*1.1</f>
        <v>770.00000000000011</v>
      </c>
      <c r="L60" s="130">
        <f>350*1.1</f>
        <v>385.00000000000006</v>
      </c>
      <c r="M60" s="130">
        <f>210*1.1</f>
        <v>231.00000000000003</v>
      </c>
      <c r="N60" s="130">
        <f t="shared" si="1"/>
        <v>539</v>
      </c>
      <c r="O60" s="130">
        <f t="shared" si="1"/>
        <v>269.5</v>
      </c>
      <c r="P60" s="130">
        <f t="shared" si="1"/>
        <v>161.70000000000002</v>
      </c>
      <c r="Q60" s="130">
        <f t="shared" si="2"/>
        <v>10.000000000000014</v>
      </c>
      <c r="R60" s="130">
        <f t="shared" si="2"/>
        <v>10.000000000000014</v>
      </c>
      <c r="S60" s="130">
        <f t="shared" si="2"/>
        <v>10.000000000000014</v>
      </c>
    </row>
    <row r="61" spans="1:20" ht="33" x14ac:dyDescent="0.25">
      <c r="A61" s="127" t="s">
        <v>433</v>
      </c>
      <c r="B61" s="128" t="s">
        <v>434</v>
      </c>
      <c r="C61" s="129">
        <v>600</v>
      </c>
      <c r="D61" s="129">
        <v>300</v>
      </c>
      <c r="E61" s="129">
        <v>180</v>
      </c>
      <c r="F61" s="129">
        <f t="shared" si="0"/>
        <v>420</v>
      </c>
      <c r="G61" s="129">
        <f t="shared" si="0"/>
        <v>210</v>
      </c>
      <c r="H61" s="129">
        <f t="shared" si="0"/>
        <v>125.99999999999999</v>
      </c>
      <c r="I61" s="127" t="s">
        <v>433</v>
      </c>
      <c r="J61" s="128" t="s">
        <v>434</v>
      </c>
      <c r="K61" s="130">
        <f>600*1.1</f>
        <v>660</v>
      </c>
      <c r="L61" s="130">
        <f>300*1.1</f>
        <v>330</v>
      </c>
      <c r="M61" s="130">
        <f>180*1.1</f>
        <v>198.00000000000003</v>
      </c>
      <c r="N61" s="130">
        <f t="shared" si="1"/>
        <v>461.99999999999994</v>
      </c>
      <c r="O61" s="130">
        <f t="shared" si="1"/>
        <v>230.99999999999997</v>
      </c>
      <c r="P61" s="130">
        <f t="shared" si="1"/>
        <v>138.60000000000002</v>
      </c>
      <c r="Q61" s="130">
        <f t="shared" si="2"/>
        <v>9.9999999999999858</v>
      </c>
      <c r="R61" s="130">
        <f t="shared" si="2"/>
        <v>9.9999999999999858</v>
      </c>
      <c r="S61" s="130">
        <f t="shared" si="2"/>
        <v>10.000000000000028</v>
      </c>
    </row>
    <row r="62" spans="1:20" ht="66" x14ac:dyDescent="0.25">
      <c r="A62" s="133" t="s">
        <v>29</v>
      </c>
      <c r="B62" s="128" t="s">
        <v>435</v>
      </c>
      <c r="C62" s="129">
        <v>900</v>
      </c>
      <c r="D62" s="129">
        <v>450</v>
      </c>
      <c r="E62" s="129">
        <v>270</v>
      </c>
      <c r="F62" s="129">
        <f t="shared" si="0"/>
        <v>630</v>
      </c>
      <c r="G62" s="129">
        <f t="shared" si="0"/>
        <v>315</v>
      </c>
      <c r="H62" s="129">
        <f t="shared" si="0"/>
        <v>189</v>
      </c>
      <c r="I62" s="133" t="s">
        <v>29</v>
      </c>
      <c r="J62" s="128" t="s">
        <v>436</v>
      </c>
      <c r="K62" s="130">
        <f>900*1.1</f>
        <v>990.00000000000011</v>
      </c>
      <c r="L62" s="130">
        <f>450*1.1</f>
        <v>495.00000000000006</v>
      </c>
      <c r="M62" s="130">
        <f>270*1.1</f>
        <v>297</v>
      </c>
      <c r="N62" s="130">
        <f t="shared" si="1"/>
        <v>693</v>
      </c>
      <c r="O62" s="130">
        <f t="shared" si="1"/>
        <v>346.5</v>
      </c>
      <c r="P62" s="130">
        <f t="shared" si="1"/>
        <v>207.89999999999998</v>
      </c>
      <c r="Q62" s="130">
        <f t="shared" si="2"/>
        <v>10.000000000000014</v>
      </c>
      <c r="R62" s="130">
        <f t="shared" si="2"/>
        <v>10.000000000000014</v>
      </c>
      <c r="S62" s="130">
        <f t="shared" si="2"/>
        <v>9.9999999999999858</v>
      </c>
    </row>
    <row r="63" spans="1:20" ht="49.5" x14ac:dyDescent="0.25">
      <c r="A63" s="133"/>
      <c r="B63" s="128"/>
      <c r="C63" s="129"/>
      <c r="D63" s="129"/>
      <c r="E63" s="129"/>
      <c r="F63" s="129"/>
      <c r="G63" s="129"/>
      <c r="H63" s="129"/>
      <c r="I63" s="133" t="s">
        <v>30</v>
      </c>
      <c r="J63" s="128" t="s">
        <v>437</v>
      </c>
      <c r="K63" s="130">
        <v>800</v>
      </c>
      <c r="L63" s="130">
        <f>K63/2</f>
        <v>400</v>
      </c>
      <c r="M63" s="130">
        <f>K63/3.33</f>
        <v>240.24024024024024</v>
      </c>
      <c r="N63" s="130">
        <f t="shared" si="1"/>
        <v>560</v>
      </c>
      <c r="O63" s="130">
        <f t="shared" si="1"/>
        <v>280</v>
      </c>
      <c r="P63" s="130">
        <f t="shared" si="1"/>
        <v>168.16816816816817</v>
      </c>
      <c r="Q63" s="130"/>
      <c r="R63" s="130"/>
      <c r="S63" s="130"/>
    </row>
    <row r="64" spans="1:20" ht="33" x14ac:dyDescent="0.25">
      <c r="A64" s="133" t="s">
        <v>30</v>
      </c>
      <c r="B64" s="128" t="s">
        <v>438</v>
      </c>
      <c r="C64" s="129">
        <v>800</v>
      </c>
      <c r="D64" s="129">
        <v>400</v>
      </c>
      <c r="E64" s="129">
        <v>240</v>
      </c>
      <c r="F64" s="129">
        <f t="shared" si="0"/>
        <v>560</v>
      </c>
      <c r="G64" s="129">
        <f t="shared" si="0"/>
        <v>280</v>
      </c>
      <c r="H64" s="129">
        <f t="shared" si="0"/>
        <v>168</v>
      </c>
      <c r="I64" s="133" t="s">
        <v>31</v>
      </c>
      <c r="J64" s="128" t="s">
        <v>438</v>
      </c>
      <c r="K64" s="130">
        <f>800*1.1</f>
        <v>880.00000000000011</v>
      </c>
      <c r="L64" s="130">
        <f>400*1.1</f>
        <v>440.00000000000006</v>
      </c>
      <c r="M64" s="130">
        <f>240*1.1</f>
        <v>264</v>
      </c>
      <c r="N64" s="130">
        <f t="shared" si="1"/>
        <v>616</v>
      </c>
      <c r="O64" s="130">
        <f t="shared" si="1"/>
        <v>308</v>
      </c>
      <c r="P64" s="130">
        <f t="shared" si="1"/>
        <v>184.79999999999998</v>
      </c>
      <c r="Q64" s="130">
        <f t="shared" si="2"/>
        <v>10.000000000000014</v>
      </c>
      <c r="R64" s="130">
        <f t="shared" si="2"/>
        <v>10.000000000000014</v>
      </c>
      <c r="S64" s="130">
        <f t="shared" si="2"/>
        <v>9.9999999999999858</v>
      </c>
    </row>
    <row r="65" spans="1:19" ht="49.5" x14ac:dyDescent="0.25">
      <c r="A65" s="133" t="s">
        <v>31</v>
      </c>
      <c r="B65" s="86" t="s">
        <v>439</v>
      </c>
      <c r="C65" s="129">
        <v>800</v>
      </c>
      <c r="D65" s="129">
        <v>400</v>
      </c>
      <c r="E65" s="129">
        <v>240</v>
      </c>
      <c r="F65" s="129">
        <f t="shared" si="0"/>
        <v>560</v>
      </c>
      <c r="G65" s="129">
        <f t="shared" si="0"/>
        <v>280</v>
      </c>
      <c r="H65" s="129">
        <f t="shared" si="0"/>
        <v>168</v>
      </c>
      <c r="I65" s="133" t="s">
        <v>32</v>
      </c>
      <c r="J65" s="128" t="s">
        <v>440</v>
      </c>
      <c r="K65" s="130">
        <f>800*1.1</f>
        <v>880.00000000000011</v>
      </c>
      <c r="L65" s="130">
        <f>400*1.1</f>
        <v>440.00000000000006</v>
      </c>
      <c r="M65" s="130">
        <f>240*1.1</f>
        <v>264</v>
      </c>
      <c r="N65" s="130">
        <f t="shared" si="1"/>
        <v>616</v>
      </c>
      <c r="O65" s="130">
        <f t="shared" si="1"/>
        <v>308</v>
      </c>
      <c r="P65" s="130">
        <f t="shared" si="1"/>
        <v>184.79999999999998</v>
      </c>
      <c r="Q65" s="130">
        <f t="shared" si="2"/>
        <v>10.000000000000014</v>
      </c>
      <c r="R65" s="130">
        <f t="shared" si="2"/>
        <v>10.000000000000014</v>
      </c>
      <c r="S65" s="130">
        <f t="shared" si="2"/>
        <v>9.9999999999999858</v>
      </c>
    </row>
    <row r="66" spans="1:19" x14ac:dyDescent="0.25">
      <c r="A66" s="127" t="s">
        <v>32</v>
      </c>
      <c r="B66" s="128" t="s">
        <v>441</v>
      </c>
      <c r="C66" s="129">
        <v>1000</v>
      </c>
      <c r="D66" s="129">
        <v>500</v>
      </c>
      <c r="E66" s="129">
        <v>300</v>
      </c>
      <c r="F66" s="129">
        <f t="shared" si="0"/>
        <v>700</v>
      </c>
      <c r="G66" s="129">
        <f t="shared" si="0"/>
        <v>350</v>
      </c>
      <c r="H66" s="129">
        <f t="shared" si="0"/>
        <v>210</v>
      </c>
      <c r="I66" s="127" t="s">
        <v>33</v>
      </c>
      <c r="J66" s="128" t="s">
        <v>441</v>
      </c>
      <c r="K66" s="130">
        <f>1000*1.1</f>
        <v>1100</v>
      </c>
      <c r="L66" s="130">
        <f>500*1.1</f>
        <v>550</v>
      </c>
      <c r="M66" s="130">
        <f>300*1.1</f>
        <v>330</v>
      </c>
      <c r="N66" s="130">
        <f t="shared" si="1"/>
        <v>770</v>
      </c>
      <c r="O66" s="130">
        <f t="shared" si="1"/>
        <v>385</v>
      </c>
      <c r="P66" s="130">
        <f t="shared" si="1"/>
        <v>230.99999999999997</v>
      </c>
      <c r="Q66" s="130">
        <f t="shared" si="2"/>
        <v>10.000000000000014</v>
      </c>
      <c r="R66" s="130">
        <f t="shared" si="2"/>
        <v>10.000000000000014</v>
      </c>
      <c r="S66" s="130">
        <f t="shared" si="2"/>
        <v>9.9999999999999858</v>
      </c>
    </row>
    <row r="67" spans="1:19" ht="33" x14ac:dyDescent="0.25">
      <c r="A67" s="127" t="s">
        <v>33</v>
      </c>
      <c r="B67" s="128" t="s">
        <v>442</v>
      </c>
      <c r="C67" s="129">
        <v>900</v>
      </c>
      <c r="D67" s="129">
        <v>450</v>
      </c>
      <c r="E67" s="129">
        <v>270</v>
      </c>
      <c r="F67" s="129">
        <f t="shared" si="0"/>
        <v>630</v>
      </c>
      <c r="G67" s="129">
        <f t="shared" si="0"/>
        <v>315</v>
      </c>
      <c r="H67" s="129">
        <f t="shared" si="0"/>
        <v>189</v>
      </c>
      <c r="I67" s="127" t="s">
        <v>115</v>
      </c>
      <c r="J67" s="128" t="s">
        <v>442</v>
      </c>
      <c r="K67" s="130">
        <f>900*1.1</f>
        <v>990.00000000000011</v>
      </c>
      <c r="L67" s="130">
        <f>450*1.1</f>
        <v>495.00000000000006</v>
      </c>
      <c r="M67" s="130">
        <f>270*1.1</f>
        <v>297</v>
      </c>
      <c r="N67" s="130">
        <f t="shared" si="1"/>
        <v>693</v>
      </c>
      <c r="O67" s="130">
        <f t="shared" si="1"/>
        <v>346.5</v>
      </c>
      <c r="P67" s="130">
        <f t="shared" si="1"/>
        <v>207.89999999999998</v>
      </c>
      <c r="Q67" s="130">
        <f t="shared" si="2"/>
        <v>10.000000000000014</v>
      </c>
      <c r="R67" s="130">
        <f t="shared" si="2"/>
        <v>10.000000000000014</v>
      </c>
      <c r="S67" s="130">
        <f t="shared" si="2"/>
        <v>9.9999999999999858</v>
      </c>
    </row>
    <row r="68" spans="1:19" ht="33" x14ac:dyDescent="0.25">
      <c r="A68" s="127" t="s">
        <v>115</v>
      </c>
      <c r="B68" s="128" t="s">
        <v>443</v>
      </c>
      <c r="C68" s="129">
        <v>800</v>
      </c>
      <c r="D68" s="129">
        <v>400</v>
      </c>
      <c r="E68" s="129">
        <v>240</v>
      </c>
      <c r="F68" s="129">
        <f t="shared" si="0"/>
        <v>560</v>
      </c>
      <c r="G68" s="129">
        <f t="shared" si="0"/>
        <v>280</v>
      </c>
      <c r="H68" s="129">
        <f t="shared" si="0"/>
        <v>168</v>
      </c>
      <c r="I68" s="127" t="s">
        <v>116</v>
      </c>
      <c r="J68" s="128" t="s">
        <v>443</v>
      </c>
      <c r="K68" s="130">
        <f>800*1.1</f>
        <v>880.00000000000011</v>
      </c>
      <c r="L68" s="130">
        <f>400*1.1</f>
        <v>440.00000000000006</v>
      </c>
      <c r="M68" s="130">
        <f>240*1.1</f>
        <v>264</v>
      </c>
      <c r="N68" s="130">
        <f t="shared" si="1"/>
        <v>616</v>
      </c>
      <c r="O68" s="130">
        <f t="shared" si="1"/>
        <v>308</v>
      </c>
      <c r="P68" s="130">
        <f t="shared" si="1"/>
        <v>184.79999999999998</v>
      </c>
      <c r="Q68" s="130">
        <f t="shared" si="2"/>
        <v>10.000000000000014</v>
      </c>
      <c r="R68" s="130">
        <f t="shared" si="2"/>
        <v>10.000000000000014</v>
      </c>
      <c r="S68" s="130">
        <f t="shared" si="2"/>
        <v>9.9999999999999858</v>
      </c>
    </row>
    <row r="69" spans="1:19" ht="33" x14ac:dyDescent="0.25">
      <c r="A69" s="127" t="s">
        <v>116</v>
      </c>
      <c r="B69" s="128" t="s">
        <v>444</v>
      </c>
      <c r="C69" s="129">
        <v>700</v>
      </c>
      <c r="D69" s="129">
        <v>350</v>
      </c>
      <c r="E69" s="129">
        <v>210</v>
      </c>
      <c r="F69" s="129">
        <f t="shared" si="0"/>
        <v>489.99999999999994</v>
      </c>
      <c r="G69" s="129">
        <f t="shared" si="0"/>
        <v>244.99999999999997</v>
      </c>
      <c r="H69" s="129">
        <f t="shared" si="0"/>
        <v>147</v>
      </c>
      <c r="I69" s="127" t="s">
        <v>445</v>
      </c>
      <c r="J69" s="128" t="s">
        <v>444</v>
      </c>
      <c r="K69" s="130">
        <f>700*1.1</f>
        <v>770.00000000000011</v>
      </c>
      <c r="L69" s="130">
        <f>350*1.1</f>
        <v>385.00000000000006</v>
      </c>
      <c r="M69" s="130">
        <f>210*1.1</f>
        <v>231.00000000000003</v>
      </c>
      <c r="N69" s="130">
        <f t="shared" si="1"/>
        <v>539</v>
      </c>
      <c r="O69" s="130">
        <f t="shared" si="1"/>
        <v>269.5</v>
      </c>
      <c r="P69" s="130">
        <f t="shared" si="1"/>
        <v>161.70000000000002</v>
      </c>
      <c r="Q69" s="130">
        <f t="shared" si="2"/>
        <v>10.000000000000014</v>
      </c>
      <c r="R69" s="130">
        <f t="shared" si="2"/>
        <v>10.000000000000014</v>
      </c>
      <c r="S69" s="130">
        <f t="shared" si="2"/>
        <v>10.000000000000014</v>
      </c>
    </row>
    <row r="70" spans="1:19" ht="33" x14ac:dyDescent="0.25">
      <c r="A70" s="127" t="s">
        <v>445</v>
      </c>
      <c r="B70" s="128" t="s">
        <v>446</v>
      </c>
      <c r="C70" s="129">
        <v>800</v>
      </c>
      <c r="D70" s="129">
        <v>400</v>
      </c>
      <c r="E70" s="129">
        <v>240</v>
      </c>
      <c r="F70" s="129">
        <f t="shared" si="0"/>
        <v>560</v>
      </c>
      <c r="G70" s="129">
        <f t="shared" si="0"/>
        <v>280</v>
      </c>
      <c r="H70" s="129">
        <f t="shared" si="0"/>
        <v>168</v>
      </c>
      <c r="I70" s="127" t="s">
        <v>447</v>
      </c>
      <c r="J70" s="128" t="s">
        <v>446</v>
      </c>
      <c r="K70" s="130">
        <f>800*1.1</f>
        <v>880.00000000000011</v>
      </c>
      <c r="L70" s="130">
        <f>400*1.1</f>
        <v>440.00000000000006</v>
      </c>
      <c r="M70" s="130">
        <f>240*1.1</f>
        <v>264</v>
      </c>
      <c r="N70" s="130">
        <f t="shared" si="1"/>
        <v>616</v>
      </c>
      <c r="O70" s="130">
        <f t="shared" si="1"/>
        <v>308</v>
      </c>
      <c r="P70" s="130">
        <f t="shared" si="1"/>
        <v>184.79999999999998</v>
      </c>
      <c r="Q70" s="130">
        <f t="shared" si="2"/>
        <v>10.000000000000014</v>
      </c>
      <c r="R70" s="130">
        <f t="shared" si="2"/>
        <v>10.000000000000014</v>
      </c>
      <c r="S70" s="130">
        <f t="shared" si="2"/>
        <v>9.9999999999999858</v>
      </c>
    </row>
    <row r="71" spans="1:19" ht="33" x14ac:dyDescent="0.25">
      <c r="A71" s="127" t="s">
        <v>447</v>
      </c>
      <c r="B71" s="128" t="s">
        <v>448</v>
      </c>
      <c r="C71" s="129">
        <v>700</v>
      </c>
      <c r="D71" s="129">
        <v>350</v>
      </c>
      <c r="E71" s="129">
        <v>210</v>
      </c>
      <c r="F71" s="129">
        <f t="shared" si="0"/>
        <v>489.99999999999994</v>
      </c>
      <c r="G71" s="129">
        <f t="shared" si="0"/>
        <v>244.99999999999997</v>
      </c>
      <c r="H71" s="129">
        <f t="shared" si="0"/>
        <v>147</v>
      </c>
      <c r="I71" s="127" t="s">
        <v>449</v>
      </c>
      <c r="J71" s="128" t="s">
        <v>448</v>
      </c>
      <c r="K71" s="130">
        <f>700*1.1</f>
        <v>770.00000000000011</v>
      </c>
      <c r="L71" s="130">
        <f>350*1.1</f>
        <v>385.00000000000006</v>
      </c>
      <c r="M71" s="130">
        <f>210*1.1</f>
        <v>231.00000000000003</v>
      </c>
      <c r="N71" s="130">
        <f t="shared" si="1"/>
        <v>539</v>
      </c>
      <c r="O71" s="130">
        <f t="shared" si="1"/>
        <v>269.5</v>
      </c>
      <c r="P71" s="130">
        <f t="shared" si="1"/>
        <v>161.70000000000002</v>
      </c>
      <c r="Q71" s="130">
        <f t="shared" si="2"/>
        <v>10.000000000000014</v>
      </c>
      <c r="R71" s="130">
        <f t="shared" si="2"/>
        <v>10.000000000000014</v>
      </c>
      <c r="S71" s="130">
        <f t="shared" si="2"/>
        <v>10.000000000000014</v>
      </c>
    </row>
    <row r="72" spans="1:19" ht="33" x14ac:dyDescent="0.25">
      <c r="A72" s="127" t="s">
        <v>449</v>
      </c>
      <c r="B72" s="128" t="s">
        <v>450</v>
      </c>
      <c r="C72" s="129">
        <v>700</v>
      </c>
      <c r="D72" s="129">
        <v>350</v>
      </c>
      <c r="E72" s="129">
        <v>210</v>
      </c>
      <c r="F72" s="129">
        <f t="shared" ref="F72:H126" si="3">C72*70%</f>
        <v>489.99999999999994</v>
      </c>
      <c r="G72" s="129">
        <f t="shared" si="3"/>
        <v>244.99999999999997</v>
      </c>
      <c r="H72" s="129">
        <f t="shared" si="3"/>
        <v>147</v>
      </c>
      <c r="I72" s="127" t="s">
        <v>451</v>
      </c>
      <c r="J72" s="128" t="s">
        <v>450</v>
      </c>
      <c r="K72" s="130">
        <f>700*1.1</f>
        <v>770.00000000000011</v>
      </c>
      <c r="L72" s="130">
        <f>350*1.1</f>
        <v>385.00000000000006</v>
      </c>
      <c r="M72" s="130">
        <f>210*1.1</f>
        <v>231.00000000000003</v>
      </c>
      <c r="N72" s="130">
        <f t="shared" ref="N72:P126" si="4">K72*70%</f>
        <v>539</v>
      </c>
      <c r="O72" s="130">
        <f t="shared" si="4"/>
        <v>269.5</v>
      </c>
      <c r="P72" s="130">
        <f t="shared" si="4"/>
        <v>161.70000000000002</v>
      </c>
      <c r="Q72" s="130">
        <f t="shared" ref="Q72:S126" si="5">(N72/F72)*100-100</f>
        <v>10.000000000000014</v>
      </c>
      <c r="R72" s="130">
        <f t="shared" si="5"/>
        <v>10.000000000000014</v>
      </c>
      <c r="S72" s="130">
        <f t="shared" si="5"/>
        <v>10.000000000000014</v>
      </c>
    </row>
    <row r="73" spans="1:19" ht="33" x14ac:dyDescent="0.25">
      <c r="A73" s="127" t="s">
        <v>451</v>
      </c>
      <c r="B73" s="128" t="s">
        <v>452</v>
      </c>
      <c r="C73" s="129">
        <v>800</v>
      </c>
      <c r="D73" s="129">
        <v>400</v>
      </c>
      <c r="E73" s="129">
        <v>240</v>
      </c>
      <c r="F73" s="129">
        <f t="shared" si="3"/>
        <v>560</v>
      </c>
      <c r="G73" s="129">
        <f t="shared" si="3"/>
        <v>280</v>
      </c>
      <c r="H73" s="129">
        <f t="shared" si="3"/>
        <v>168</v>
      </c>
      <c r="I73" s="127" t="s">
        <v>453</v>
      </c>
      <c r="J73" s="128" t="s">
        <v>452</v>
      </c>
      <c r="K73" s="130">
        <f>800*1.1</f>
        <v>880.00000000000011</v>
      </c>
      <c r="L73" s="130">
        <f>400*1.1</f>
        <v>440.00000000000006</v>
      </c>
      <c r="M73" s="130">
        <f>240*1.1</f>
        <v>264</v>
      </c>
      <c r="N73" s="130">
        <f t="shared" si="4"/>
        <v>616</v>
      </c>
      <c r="O73" s="130">
        <f t="shared" si="4"/>
        <v>308</v>
      </c>
      <c r="P73" s="130">
        <f t="shared" si="4"/>
        <v>184.79999999999998</v>
      </c>
      <c r="Q73" s="130">
        <f t="shared" si="5"/>
        <v>10.000000000000014</v>
      </c>
      <c r="R73" s="130">
        <f t="shared" si="5"/>
        <v>10.000000000000014</v>
      </c>
      <c r="S73" s="130">
        <f t="shared" si="5"/>
        <v>9.9999999999999858</v>
      </c>
    </row>
    <row r="74" spans="1:19" x14ac:dyDescent="0.25">
      <c r="A74" s="133" t="s">
        <v>453</v>
      </c>
      <c r="B74" s="128" t="s">
        <v>360</v>
      </c>
      <c r="C74" s="129"/>
      <c r="D74" s="129"/>
      <c r="E74" s="129"/>
      <c r="F74" s="129"/>
      <c r="G74" s="129"/>
      <c r="H74" s="129"/>
      <c r="I74" s="133" t="s">
        <v>455</v>
      </c>
      <c r="J74" s="128" t="s">
        <v>360</v>
      </c>
      <c r="K74" s="130"/>
      <c r="L74" s="133"/>
      <c r="M74" s="133"/>
      <c r="N74" s="130"/>
      <c r="O74" s="130"/>
      <c r="P74" s="130"/>
      <c r="Q74" s="130"/>
      <c r="R74" s="130"/>
      <c r="S74" s="130"/>
    </row>
    <row r="75" spans="1:19" x14ac:dyDescent="0.25">
      <c r="A75" s="133" t="s">
        <v>454</v>
      </c>
      <c r="B75" s="128" t="s">
        <v>362</v>
      </c>
      <c r="C75" s="129">
        <v>140</v>
      </c>
      <c r="D75" s="129">
        <v>70</v>
      </c>
      <c r="E75" s="129">
        <v>56</v>
      </c>
      <c r="F75" s="129">
        <f t="shared" si="3"/>
        <v>98</v>
      </c>
      <c r="G75" s="129">
        <f t="shared" si="3"/>
        <v>49</v>
      </c>
      <c r="H75" s="129">
        <f t="shared" si="3"/>
        <v>39.199999999999996</v>
      </c>
      <c r="I75" s="133" t="s">
        <v>454</v>
      </c>
      <c r="J75" s="128" t="s">
        <v>362</v>
      </c>
      <c r="K75" s="130">
        <f>140*1.1</f>
        <v>154</v>
      </c>
      <c r="L75" s="130">
        <f>70*1.1</f>
        <v>77</v>
      </c>
      <c r="M75" s="130">
        <f>56*1.1</f>
        <v>61.600000000000009</v>
      </c>
      <c r="N75" s="130">
        <f t="shared" si="4"/>
        <v>107.8</v>
      </c>
      <c r="O75" s="130">
        <f t="shared" si="4"/>
        <v>53.9</v>
      </c>
      <c r="P75" s="130">
        <f t="shared" si="4"/>
        <v>43.120000000000005</v>
      </c>
      <c r="Q75" s="130">
        <f t="shared" si="5"/>
        <v>9.9999999999999858</v>
      </c>
      <c r="R75" s="130">
        <f t="shared" si="5"/>
        <v>9.9999999999999858</v>
      </c>
      <c r="S75" s="130">
        <f t="shared" si="5"/>
        <v>10.000000000000028</v>
      </c>
    </row>
    <row r="76" spans="1:19" x14ac:dyDescent="0.25">
      <c r="A76" s="133" t="s">
        <v>454</v>
      </c>
      <c r="B76" s="128" t="s">
        <v>365</v>
      </c>
      <c r="C76" s="129">
        <v>120</v>
      </c>
      <c r="D76" s="129">
        <v>60</v>
      </c>
      <c r="E76" s="129">
        <v>36</v>
      </c>
      <c r="F76" s="129">
        <f t="shared" si="3"/>
        <v>84</v>
      </c>
      <c r="G76" s="129">
        <f t="shared" si="3"/>
        <v>42</v>
      </c>
      <c r="H76" s="129">
        <f t="shared" si="3"/>
        <v>25.2</v>
      </c>
      <c r="I76" s="133" t="s">
        <v>454</v>
      </c>
      <c r="J76" s="128" t="s">
        <v>365</v>
      </c>
      <c r="K76" s="130">
        <f>120*1.1</f>
        <v>132</v>
      </c>
      <c r="L76" s="130">
        <f>60*1.1</f>
        <v>66</v>
      </c>
      <c r="M76" s="130">
        <f>36*1.1</f>
        <v>39.6</v>
      </c>
      <c r="N76" s="130">
        <f t="shared" si="4"/>
        <v>92.399999999999991</v>
      </c>
      <c r="O76" s="130">
        <f t="shared" si="4"/>
        <v>46.199999999999996</v>
      </c>
      <c r="P76" s="130">
        <f t="shared" si="4"/>
        <v>27.72</v>
      </c>
      <c r="Q76" s="130">
        <f t="shared" si="5"/>
        <v>9.9999999999999858</v>
      </c>
      <c r="R76" s="130">
        <f t="shared" si="5"/>
        <v>9.9999999999999858</v>
      </c>
      <c r="S76" s="130">
        <f t="shared" si="5"/>
        <v>10.000000000000014</v>
      </c>
    </row>
    <row r="77" spans="1:19" x14ac:dyDescent="0.25">
      <c r="A77" s="133" t="s">
        <v>455</v>
      </c>
      <c r="B77" s="128" t="s">
        <v>367</v>
      </c>
      <c r="C77" s="129"/>
      <c r="D77" s="129"/>
      <c r="E77" s="129"/>
      <c r="F77" s="129"/>
      <c r="G77" s="129"/>
      <c r="H77" s="129"/>
      <c r="I77" s="133" t="s">
        <v>884</v>
      </c>
      <c r="J77" s="128" t="s">
        <v>367</v>
      </c>
      <c r="K77" s="130"/>
      <c r="L77" s="133"/>
      <c r="M77" s="133"/>
      <c r="N77" s="130"/>
      <c r="O77" s="130"/>
      <c r="P77" s="130"/>
      <c r="Q77" s="130"/>
      <c r="R77" s="130"/>
      <c r="S77" s="130"/>
    </row>
    <row r="78" spans="1:19" x14ac:dyDescent="0.25">
      <c r="A78" s="133" t="s">
        <v>454</v>
      </c>
      <c r="B78" s="128" t="s">
        <v>369</v>
      </c>
      <c r="C78" s="129">
        <v>110</v>
      </c>
      <c r="D78" s="129">
        <v>55</v>
      </c>
      <c r="E78" s="129">
        <v>33</v>
      </c>
      <c r="F78" s="129">
        <f t="shared" si="3"/>
        <v>77</v>
      </c>
      <c r="G78" s="129">
        <f t="shared" si="3"/>
        <v>38.5</v>
      </c>
      <c r="H78" s="129">
        <f t="shared" si="3"/>
        <v>23.099999999999998</v>
      </c>
      <c r="I78" s="133" t="s">
        <v>454</v>
      </c>
      <c r="J78" s="128" t="s">
        <v>369</v>
      </c>
      <c r="K78" s="130">
        <f>110*1.1</f>
        <v>121.00000000000001</v>
      </c>
      <c r="L78" s="130">
        <f>55*1.1</f>
        <v>60.500000000000007</v>
      </c>
      <c r="M78" s="130">
        <f>33*1.1</f>
        <v>36.300000000000004</v>
      </c>
      <c r="N78" s="130">
        <f t="shared" si="4"/>
        <v>84.7</v>
      </c>
      <c r="O78" s="130">
        <f t="shared" si="4"/>
        <v>42.35</v>
      </c>
      <c r="P78" s="130">
        <f t="shared" si="4"/>
        <v>25.41</v>
      </c>
      <c r="Q78" s="130">
        <f t="shared" si="5"/>
        <v>10.000000000000014</v>
      </c>
      <c r="R78" s="130">
        <f t="shared" si="5"/>
        <v>10.000000000000014</v>
      </c>
      <c r="S78" s="130">
        <f t="shared" si="5"/>
        <v>10.000000000000014</v>
      </c>
    </row>
    <row r="79" spans="1:19" x14ac:dyDescent="0.25">
      <c r="A79" s="133" t="s">
        <v>454</v>
      </c>
      <c r="B79" s="128" t="s">
        <v>371</v>
      </c>
      <c r="C79" s="129">
        <v>90</v>
      </c>
      <c r="D79" s="129">
        <v>45</v>
      </c>
      <c r="E79" s="129">
        <v>27</v>
      </c>
      <c r="F79" s="129">
        <f t="shared" si="3"/>
        <v>62.999999999999993</v>
      </c>
      <c r="G79" s="129">
        <f t="shared" si="3"/>
        <v>31.499999999999996</v>
      </c>
      <c r="H79" s="129">
        <f t="shared" si="3"/>
        <v>18.899999999999999</v>
      </c>
      <c r="I79" s="133" t="s">
        <v>454</v>
      </c>
      <c r="J79" s="128" t="s">
        <v>371</v>
      </c>
      <c r="K79" s="130">
        <f>90*1.1</f>
        <v>99.000000000000014</v>
      </c>
      <c r="L79" s="130">
        <f>45*1.1</f>
        <v>49.500000000000007</v>
      </c>
      <c r="M79" s="130">
        <f>27*1.1</f>
        <v>29.700000000000003</v>
      </c>
      <c r="N79" s="130">
        <f t="shared" si="4"/>
        <v>69.300000000000011</v>
      </c>
      <c r="O79" s="130">
        <f t="shared" si="4"/>
        <v>34.650000000000006</v>
      </c>
      <c r="P79" s="130">
        <f t="shared" si="4"/>
        <v>20.79</v>
      </c>
      <c r="Q79" s="130">
        <f t="shared" si="5"/>
        <v>10.000000000000028</v>
      </c>
      <c r="R79" s="130">
        <f t="shared" si="5"/>
        <v>10.000000000000028</v>
      </c>
      <c r="S79" s="130">
        <f t="shared" si="5"/>
        <v>10.000000000000014</v>
      </c>
    </row>
    <row r="80" spans="1:19" s="125" customFormat="1" x14ac:dyDescent="0.25">
      <c r="A80" s="124">
        <v>5</v>
      </c>
      <c r="B80" s="126" t="s">
        <v>456</v>
      </c>
      <c r="C80" s="137"/>
      <c r="D80" s="137"/>
      <c r="E80" s="137"/>
      <c r="F80" s="129"/>
      <c r="G80" s="129"/>
      <c r="H80" s="129"/>
      <c r="I80" s="124">
        <v>5</v>
      </c>
      <c r="J80" s="126" t="s">
        <v>456</v>
      </c>
      <c r="K80" s="136"/>
      <c r="L80" s="124"/>
      <c r="M80" s="124"/>
      <c r="N80" s="130"/>
      <c r="O80" s="130"/>
      <c r="P80" s="130"/>
      <c r="Q80" s="130"/>
      <c r="R80" s="130"/>
      <c r="S80" s="130"/>
    </row>
    <row r="81" spans="1:19" ht="33" x14ac:dyDescent="0.25">
      <c r="A81" s="133" t="s">
        <v>35</v>
      </c>
      <c r="B81" s="128" t="s">
        <v>457</v>
      </c>
      <c r="C81" s="129">
        <v>180</v>
      </c>
      <c r="D81" s="129">
        <v>140</v>
      </c>
      <c r="E81" s="129">
        <v>62.999999999999993</v>
      </c>
      <c r="F81" s="129">
        <f t="shared" si="3"/>
        <v>125.99999999999999</v>
      </c>
      <c r="G81" s="129">
        <f t="shared" si="3"/>
        <v>98</v>
      </c>
      <c r="H81" s="129">
        <f t="shared" si="3"/>
        <v>44.099999999999994</v>
      </c>
      <c r="I81" s="133" t="s">
        <v>35</v>
      </c>
      <c r="J81" s="128" t="s">
        <v>457</v>
      </c>
      <c r="K81" s="130">
        <f>180*1.1</f>
        <v>198.00000000000003</v>
      </c>
      <c r="L81" s="130">
        <f>140*1.1</f>
        <v>154</v>
      </c>
      <c r="M81" s="130">
        <f>63*1.1</f>
        <v>69.300000000000011</v>
      </c>
      <c r="N81" s="130">
        <f t="shared" si="4"/>
        <v>138.60000000000002</v>
      </c>
      <c r="O81" s="130">
        <f t="shared" si="4"/>
        <v>107.8</v>
      </c>
      <c r="P81" s="130">
        <f t="shared" si="4"/>
        <v>48.510000000000005</v>
      </c>
      <c r="Q81" s="130">
        <f t="shared" si="5"/>
        <v>10.000000000000028</v>
      </c>
      <c r="R81" s="130">
        <f t="shared" si="5"/>
        <v>9.9999999999999858</v>
      </c>
      <c r="S81" s="130">
        <f t="shared" si="5"/>
        <v>10.000000000000028</v>
      </c>
    </row>
    <row r="82" spans="1:19" x14ac:dyDescent="0.25">
      <c r="A82" s="133" t="s">
        <v>36</v>
      </c>
      <c r="B82" s="128" t="s">
        <v>458</v>
      </c>
      <c r="C82" s="129">
        <v>160</v>
      </c>
      <c r="D82" s="129">
        <v>112</v>
      </c>
      <c r="E82" s="129">
        <v>48</v>
      </c>
      <c r="F82" s="129">
        <f t="shared" si="3"/>
        <v>112</v>
      </c>
      <c r="G82" s="129">
        <f t="shared" si="3"/>
        <v>78.399999999999991</v>
      </c>
      <c r="H82" s="129">
        <f t="shared" si="3"/>
        <v>33.599999999999994</v>
      </c>
      <c r="I82" s="133" t="s">
        <v>36</v>
      </c>
      <c r="J82" s="128" t="s">
        <v>877</v>
      </c>
      <c r="K82" s="130">
        <f>160*1.1</f>
        <v>176</v>
      </c>
      <c r="L82" s="130">
        <f>112*1.1</f>
        <v>123.20000000000002</v>
      </c>
      <c r="M82" s="130">
        <f>48*1.1</f>
        <v>52.800000000000004</v>
      </c>
      <c r="N82" s="130">
        <f t="shared" si="4"/>
        <v>123.19999999999999</v>
      </c>
      <c r="O82" s="130">
        <f t="shared" si="4"/>
        <v>86.240000000000009</v>
      </c>
      <c r="P82" s="130">
        <f t="shared" si="4"/>
        <v>36.96</v>
      </c>
      <c r="Q82" s="130">
        <f t="shared" si="5"/>
        <v>9.9999999999999858</v>
      </c>
      <c r="R82" s="130">
        <f t="shared" si="5"/>
        <v>10.000000000000028</v>
      </c>
      <c r="S82" s="130">
        <f t="shared" si="5"/>
        <v>10.000000000000028</v>
      </c>
    </row>
    <row r="83" spans="1:19" x14ac:dyDescent="0.25">
      <c r="A83" s="127" t="s">
        <v>37</v>
      </c>
      <c r="B83" s="128" t="s">
        <v>459</v>
      </c>
      <c r="C83" s="129">
        <v>150</v>
      </c>
      <c r="D83" s="129">
        <v>112</v>
      </c>
      <c r="E83" s="129">
        <v>45</v>
      </c>
      <c r="F83" s="129">
        <f t="shared" si="3"/>
        <v>105</v>
      </c>
      <c r="G83" s="129">
        <f t="shared" si="3"/>
        <v>78.399999999999991</v>
      </c>
      <c r="H83" s="129">
        <f t="shared" si="3"/>
        <v>31.499999999999996</v>
      </c>
      <c r="I83" s="127" t="s">
        <v>37</v>
      </c>
      <c r="J83" s="128" t="s">
        <v>878</v>
      </c>
      <c r="K83" s="130">
        <f>150*1.1</f>
        <v>165</v>
      </c>
      <c r="L83" s="130">
        <f>112*1.1</f>
        <v>123.20000000000002</v>
      </c>
      <c r="M83" s="130">
        <f>45*1.1</f>
        <v>49.500000000000007</v>
      </c>
      <c r="N83" s="130">
        <f t="shared" si="4"/>
        <v>115.49999999999999</v>
      </c>
      <c r="O83" s="130">
        <f t="shared" si="4"/>
        <v>86.240000000000009</v>
      </c>
      <c r="P83" s="130">
        <f t="shared" si="4"/>
        <v>34.650000000000006</v>
      </c>
      <c r="Q83" s="130">
        <f t="shared" si="5"/>
        <v>9.9999999999999858</v>
      </c>
      <c r="R83" s="130">
        <f t="shared" si="5"/>
        <v>10.000000000000028</v>
      </c>
      <c r="S83" s="130">
        <f t="shared" si="5"/>
        <v>10.000000000000028</v>
      </c>
    </row>
    <row r="84" spans="1:19" ht="33" x14ac:dyDescent="0.25">
      <c r="A84" s="133" t="s">
        <v>38</v>
      </c>
      <c r="B84" s="128" t="s">
        <v>460</v>
      </c>
      <c r="C84" s="129">
        <v>150</v>
      </c>
      <c r="D84" s="129">
        <v>75</v>
      </c>
      <c r="E84" s="129">
        <v>45</v>
      </c>
      <c r="F84" s="129">
        <f t="shared" si="3"/>
        <v>105</v>
      </c>
      <c r="G84" s="129">
        <f t="shared" si="3"/>
        <v>52.5</v>
      </c>
      <c r="H84" s="129">
        <f t="shared" si="3"/>
        <v>31.499999999999996</v>
      </c>
      <c r="I84" s="133" t="s">
        <v>38</v>
      </c>
      <c r="J84" s="128" t="s">
        <v>460</v>
      </c>
      <c r="K84" s="130">
        <f>150*1.1</f>
        <v>165</v>
      </c>
      <c r="L84" s="130">
        <f>75*1.1</f>
        <v>82.5</v>
      </c>
      <c r="M84" s="130">
        <f>45*1.1</f>
        <v>49.500000000000007</v>
      </c>
      <c r="N84" s="130">
        <f t="shared" si="4"/>
        <v>115.49999999999999</v>
      </c>
      <c r="O84" s="130">
        <f t="shared" si="4"/>
        <v>57.749999999999993</v>
      </c>
      <c r="P84" s="130">
        <f t="shared" si="4"/>
        <v>34.650000000000006</v>
      </c>
      <c r="Q84" s="130">
        <f t="shared" si="5"/>
        <v>9.9999999999999858</v>
      </c>
      <c r="R84" s="130">
        <f t="shared" si="5"/>
        <v>9.9999999999999858</v>
      </c>
      <c r="S84" s="130">
        <f t="shared" si="5"/>
        <v>10.000000000000028</v>
      </c>
    </row>
    <row r="85" spans="1:19" x14ac:dyDescent="0.25">
      <c r="A85" s="133" t="s">
        <v>39</v>
      </c>
      <c r="B85" s="128" t="s">
        <v>360</v>
      </c>
      <c r="C85" s="129"/>
      <c r="D85" s="129"/>
      <c r="E85" s="129"/>
      <c r="F85" s="129"/>
      <c r="G85" s="129"/>
      <c r="H85" s="129"/>
      <c r="I85" s="133" t="s">
        <v>39</v>
      </c>
      <c r="J85" s="128" t="s">
        <v>360</v>
      </c>
      <c r="K85" s="130"/>
      <c r="L85" s="130"/>
      <c r="M85" s="130"/>
      <c r="N85" s="130"/>
      <c r="O85" s="130"/>
      <c r="P85" s="130"/>
      <c r="Q85" s="130"/>
      <c r="R85" s="130"/>
      <c r="S85" s="130"/>
    </row>
    <row r="86" spans="1:19" x14ac:dyDescent="0.25">
      <c r="A86" s="133" t="s">
        <v>454</v>
      </c>
      <c r="B86" s="128" t="s">
        <v>362</v>
      </c>
      <c r="C86" s="129">
        <v>100</v>
      </c>
      <c r="D86" s="129">
        <v>70</v>
      </c>
      <c r="E86" s="129">
        <v>30</v>
      </c>
      <c r="F86" s="129">
        <f t="shared" si="3"/>
        <v>70</v>
      </c>
      <c r="G86" s="129">
        <f t="shared" si="3"/>
        <v>49</v>
      </c>
      <c r="H86" s="129">
        <f t="shared" si="3"/>
        <v>21</v>
      </c>
      <c r="I86" s="133" t="s">
        <v>454</v>
      </c>
      <c r="J86" s="128" t="s">
        <v>362</v>
      </c>
      <c r="K86" s="130">
        <f>100*1.1</f>
        <v>110.00000000000001</v>
      </c>
      <c r="L86" s="130">
        <f>70*1.1</f>
        <v>77</v>
      </c>
      <c r="M86" s="130">
        <f>30*1.1</f>
        <v>33</v>
      </c>
      <c r="N86" s="130">
        <f t="shared" si="4"/>
        <v>77</v>
      </c>
      <c r="O86" s="130">
        <f t="shared" si="4"/>
        <v>53.9</v>
      </c>
      <c r="P86" s="130">
        <f t="shared" si="4"/>
        <v>23.099999999999998</v>
      </c>
      <c r="Q86" s="130">
        <f t="shared" si="5"/>
        <v>10.000000000000014</v>
      </c>
      <c r="R86" s="130">
        <f t="shared" si="5"/>
        <v>9.9999999999999858</v>
      </c>
      <c r="S86" s="130">
        <f t="shared" si="5"/>
        <v>9.9999999999999858</v>
      </c>
    </row>
    <row r="87" spans="1:19" x14ac:dyDescent="0.25">
      <c r="A87" s="133" t="s">
        <v>454</v>
      </c>
      <c r="B87" s="128" t="s">
        <v>365</v>
      </c>
      <c r="C87" s="129">
        <v>90</v>
      </c>
      <c r="D87" s="129">
        <v>45</v>
      </c>
      <c r="E87" s="129">
        <v>27</v>
      </c>
      <c r="F87" s="129">
        <f t="shared" si="3"/>
        <v>62.999999999999993</v>
      </c>
      <c r="G87" s="129">
        <f t="shared" si="3"/>
        <v>31.499999999999996</v>
      </c>
      <c r="H87" s="129">
        <f t="shared" si="3"/>
        <v>18.899999999999999</v>
      </c>
      <c r="I87" s="133" t="s">
        <v>454</v>
      </c>
      <c r="J87" s="128" t="s">
        <v>365</v>
      </c>
      <c r="K87" s="130">
        <f>90*1.1</f>
        <v>99.000000000000014</v>
      </c>
      <c r="L87" s="130">
        <f>45*1.1</f>
        <v>49.500000000000007</v>
      </c>
      <c r="M87" s="130">
        <f>27*1.1</f>
        <v>29.700000000000003</v>
      </c>
      <c r="N87" s="130">
        <f t="shared" si="4"/>
        <v>69.300000000000011</v>
      </c>
      <c r="O87" s="130">
        <f t="shared" si="4"/>
        <v>34.650000000000006</v>
      </c>
      <c r="P87" s="130">
        <f t="shared" si="4"/>
        <v>20.79</v>
      </c>
      <c r="Q87" s="130">
        <f t="shared" si="5"/>
        <v>10.000000000000028</v>
      </c>
      <c r="R87" s="130">
        <f t="shared" si="5"/>
        <v>10.000000000000028</v>
      </c>
      <c r="S87" s="130">
        <f t="shared" si="5"/>
        <v>10.000000000000014</v>
      </c>
    </row>
    <row r="88" spans="1:19" x14ac:dyDescent="0.25">
      <c r="A88" s="133" t="s">
        <v>40</v>
      </c>
      <c r="B88" s="128" t="s">
        <v>367</v>
      </c>
      <c r="C88" s="129"/>
      <c r="D88" s="129"/>
      <c r="E88" s="129"/>
      <c r="F88" s="129"/>
      <c r="G88" s="129"/>
      <c r="H88" s="129"/>
      <c r="I88" s="133" t="s">
        <v>40</v>
      </c>
      <c r="J88" s="128" t="s">
        <v>367</v>
      </c>
      <c r="K88" s="130"/>
      <c r="L88" s="130"/>
      <c r="M88" s="130"/>
      <c r="N88" s="130"/>
      <c r="O88" s="130"/>
      <c r="P88" s="130"/>
      <c r="Q88" s="130"/>
      <c r="R88" s="130"/>
      <c r="S88" s="130"/>
    </row>
    <row r="89" spans="1:19" x14ac:dyDescent="0.25">
      <c r="A89" s="133" t="s">
        <v>454</v>
      </c>
      <c r="B89" s="128" t="s">
        <v>369</v>
      </c>
      <c r="C89" s="129">
        <v>90</v>
      </c>
      <c r="D89" s="129">
        <v>56</v>
      </c>
      <c r="E89" s="129">
        <v>27</v>
      </c>
      <c r="F89" s="129">
        <f t="shared" si="3"/>
        <v>62.999999999999993</v>
      </c>
      <c r="G89" s="129">
        <f t="shared" si="3"/>
        <v>39.199999999999996</v>
      </c>
      <c r="H89" s="129">
        <f t="shared" si="3"/>
        <v>18.899999999999999</v>
      </c>
      <c r="I89" s="133" t="s">
        <v>454</v>
      </c>
      <c r="J89" s="128" t="s">
        <v>369</v>
      </c>
      <c r="K89" s="130">
        <f>90*1.1</f>
        <v>99.000000000000014</v>
      </c>
      <c r="L89" s="130">
        <f>56*1.1</f>
        <v>61.600000000000009</v>
      </c>
      <c r="M89" s="130">
        <f>27*1.1</f>
        <v>29.700000000000003</v>
      </c>
      <c r="N89" s="130">
        <f t="shared" si="4"/>
        <v>69.300000000000011</v>
      </c>
      <c r="O89" s="130">
        <f t="shared" si="4"/>
        <v>43.120000000000005</v>
      </c>
      <c r="P89" s="130">
        <f t="shared" si="4"/>
        <v>20.79</v>
      </c>
      <c r="Q89" s="130">
        <f t="shared" si="5"/>
        <v>10.000000000000028</v>
      </c>
      <c r="R89" s="130">
        <f t="shared" si="5"/>
        <v>10.000000000000028</v>
      </c>
      <c r="S89" s="130">
        <f t="shared" si="5"/>
        <v>10.000000000000014</v>
      </c>
    </row>
    <row r="90" spans="1:19" x14ac:dyDescent="0.25">
      <c r="A90" s="133" t="s">
        <v>454</v>
      </c>
      <c r="B90" s="128" t="s">
        <v>371</v>
      </c>
      <c r="C90" s="129">
        <v>80</v>
      </c>
      <c r="D90" s="129">
        <v>40</v>
      </c>
      <c r="E90" s="129">
        <v>25</v>
      </c>
      <c r="F90" s="129">
        <f t="shared" si="3"/>
        <v>56</v>
      </c>
      <c r="G90" s="129">
        <f t="shared" si="3"/>
        <v>28</v>
      </c>
      <c r="H90" s="129">
        <f t="shared" si="3"/>
        <v>17.5</v>
      </c>
      <c r="I90" s="133" t="s">
        <v>454</v>
      </c>
      <c r="J90" s="128" t="s">
        <v>371</v>
      </c>
      <c r="K90" s="130">
        <f>80*1.1</f>
        <v>88</v>
      </c>
      <c r="L90" s="130">
        <f>40*1.1</f>
        <v>44</v>
      </c>
      <c r="M90" s="130">
        <f>25*1.1</f>
        <v>27.500000000000004</v>
      </c>
      <c r="N90" s="130">
        <f t="shared" si="4"/>
        <v>61.599999999999994</v>
      </c>
      <c r="O90" s="130">
        <f t="shared" si="4"/>
        <v>30.799999999999997</v>
      </c>
      <c r="P90" s="130">
        <f t="shared" si="4"/>
        <v>19.25</v>
      </c>
      <c r="Q90" s="130">
        <f t="shared" si="5"/>
        <v>9.9999999999999858</v>
      </c>
      <c r="R90" s="130">
        <f t="shared" si="5"/>
        <v>9.9999999999999858</v>
      </c>
      <c r="S90" s="130">
        <f t="shared" si="5"/>
        <v>10.000000000000014</v>
      </c>
    </row>
    <row r="91" spans="1:19" x14ac:dyDescent="0.25">
      <c r="A91" s="124">
        <v>6</v>
      </c>
      <c r="B91" s="126" t="s">
        <v>461</v>
      </c>
      <c r="C91" s="129"/>
      <c r="D91" s="129"/>
      <c r="E91" s="129"/>
      <c r="F91" s="129"/>
      <c r="G91" s="129"/>
      <c r="H91" s="129"/>
      <c r="I91" s="124">
        <v>6</v>
      </c>
      <c r="J91" s="126" t="s">
        <v>461</v>
      </c>
      <c r="K91" s="130"/>
      <c r="L91" s="130"/>
      <c r="M91" s="130"/>
      <c r="N91" s="130"/>
      <c r="O91" s="130"/>
      <c r="P91" s="130"/>
      <c r="Q91" s="130"/>
      <c r="R91" s="130"/>
      <c r="S91" s="130"/>
    </row>
    <row r="92" spans="1:19" ht="49.5" x14ac:dyDescent="0.25">
      <c r="A92" s="133" t="s">
        <v>43</v>
      </c>
      <c r="B92" s="128" t="s">
        <v>462</v>
      </c>
      <c r="C92" s="129">
        <v>250</v>
      </c>
      <c r="D92" s="129">
        <v>125</v>
      </c>
      <c r="E92" s="129">
        <v>75</v>
      </c>
      <c r="F92" s="129">
        <f t="shared" si="3"/>
        <v>175</v>
      </c>
      <c r="G92" s="129">
        <f t="shared" si="3"/>
        <v>87.5</v>
      </c>
      <c r="H92" s="129">
        <f t="shared" si="3"/>
        <v>52.5</v>
      </c>
      <c r="I92" s="133" t="s">
        <v>43</v>
      </c>
      <c r="J92" s="128" t="s">
        <v>462</v>
      </c>
      <c r="K92" s="130">
        <f>250*1.1</f>
        <v>275</v>
      </c>
      <c r="L92" s="130">
        <f>125*1.1</f>
        <v>137.5</v>
      </c>
      <c r="M92" s="130">
        <f>75*1.1</f>
        <v>82.5</v>
      </c>
      <c r="N92" s="130">
        <f t="shared" si="4"/>
        <v>192.5</v>
      </c>
      <c r="O92" s="130">
        <f t="shared" si="4"/>
        <v>96.25</v>
      </c>
      <c r="P92" s="130">
        <f t="shared" si="4"/>
        <v>57.749999999999993</v>
      </c>
      <c r="Q92" s="130">
        <f t="shared" si="5"/>
        <v>10.000000000000014</v>
      </c>
      <c r="R92" s="130">
        <f t="shared" si="5"/>
        <v>10.000000000000014</v>
      </c>
      <c r="S92" s="130">
        <f t="shared" si="5"/>
        <v>9.9999999999999858</v>
      </c>
    </row>
    <row r="93" spans="1:19" x14ac:dyDescent="0.25">
      <c r="A93" s="133" t="s">
        <v>44</v>
      </c>
      <c r="B93" s="128" t="s">
        <v>360</v>
      </c>
      <c r="C93" s="129"/>
      <c r="D93" s="129"/>
      <c r="E93" s="129"/>
      <c r="F93" s="129"/>
      <c r="G93" s="129"/>
      <c r="H93" s="129"/>
      <c r="I93" s="133" t="s">
        <v>44</v>
      </c>
      <c r="J93" s="128" t="s">
        <v>360</v>
      </c>
      <c r="K93" s="130"/>
      <c r="L93" s="130"/>
      <c r="M93" s="130"/>
      <c r="N93" s="130"/>
      <c r="O93" s="130"/>
      <c r="P93" s="130"/>
      <c r="Q93" s="130"/>
      <c r="R93" s="130"/>
      <c r="S93" s="130"/>
    </row>
    <row r="94" spans="1:19" x14ac:dyDescent="0.25">
      <c r="A94" s="133" t="s">
        <v>454</v>
      </c>
      <c r="B94" s="128" t="s">
        <v>383</v>
      </c>
      <c r="C94" s="129">
        <v>110</v>
      </c>
      <c r="D94" s="129">
        <v>70</v>
      </c>
      <c r="E94" s="129">
        <v>33</v>
      </c>
      <c r="F94" s="129">
        <f t="shared" si="3"/>
        <v>77</v>
      </c>
      <c r="G94" s="129">
        <f t="shared" si="3"/>
        <v>49</v>
      </c>
      <c r="H94" s="129">
        <f t="shared" si="3"/>
        <v>23.099999999999998</v>
      </c>
      <c r="I94" s="133" t="s">
        <v>454</v>
      </c>
      <c r="J94" s="128" t="s">
        <v>383</v>
      </c>
      <c r="K94" s="130">
        <f>110*1.1</f>
        <v>121.00000000000001</v>
      </c>
      <c r="L94" s="130">
        <f>70*1.1</f>
        <v>77</v>
      </c>
      <c r="M94" s="130">
        <f>33*1.1</f>
        <v>36.300000000000004</v>
      </c>
      <c r="N94" s="130">
        <f t="shared" si="4"/>
        <v>84.7</v>
      </c>
      <c r="O94" s="130">
        <f t="shared" si="4"/>
        <v>53.9</v>
      </c>
      <c r="P94" s="130">
        <f t="shared" si="4"/>
        <v>25.41</v>
      </c>
      <c r="Q94" s="130">
        <f t="shared" si="5"/>
        <v>10.000000000000014</v>
      </c>
      <c r="R94" s="130">
        <f t="shared" si="5"/>
        <v>9.9999999999999858</v>
      </c>
      <c r="S94" s="130">
        <f t="shared" si="5"/>
        <v>10.000000000000014</v>
      </c>
    </row>
    <row r="95" spans="1:19" x14ac:dyDescent="0.25">
      <c r="A95" s="133" t="s">
        <v>454</v>
      </c>
      <c r="B95" s="128" t="s">
        <v>365</v>
      </c>
      <c r="C95" s="129">
        <v>100</v>
      </c>
      <c r="D95" s="129">
        <v>50</v>
      </c>
      <c r="E95" s="129">
        <v>30</v>
      </c>
      <c r="F95" s="129">
        <f t="shared" si="3"/>
        <v>70</v>
      </c>
      <c r="G95" s="129">
        <f t="shared" si="3"/>
        <v>35</v>
      </c>
      <c r="H95" s="129">
        <f t="shared" si="3"/>
        <v>21</v>
      </c>
      <c r="I95" s="133" t="s">
        <v>454</v>
      </c>
      <c r="J95" s="128" t="s">
        <v>365</v>
      </c>
      <c r="K95" s="130">
        <f>100*1.1</f>
        <v>110.00000000000001</v>
      </c>
      <c r="L95" s="130">
        <f>50*1.1</f>
        <v>55.000000000000007</v>
      </c>
      <c r="M95" s="130">
        <f>30*1.1</f>
        <v>33</v>
      </c>
      <c r="N95" s="130">
        <f t="shared" si="4"/>
        <v>77</v>
      </c>
      <c r="O95" s="130">
        <f t="shared" si="4"/>
        <v>38.5</v>
      </c>
      <c r="P95" s="130">
        <f t="shared" si="4"/>
        <v>23.099999999999998</v>
      </c>
      <c r="Q95" s="130">
        <f t="shared" si="5"/>
        <v>10.000000000000014</v>
      </c>
      <c r="R95" s="130">
        <f t="shared" si="5"/>
        <v>10.000000000000014</v>
      </c>
      <c r="S95" s="130">
        <f t="shared" si="5"/>
        <v>9.9999999999999858</v>
      </c>
    </row>
    <row r="96" spans="1:19" x14ac:dyDescent="0.25">
      <c r="A96" s="133" t="s">
        <v>45</v>
      </c>
      <c r="B96" s="128" t="s">
        <v>367</v>
      </c>
      <c r="C96" s="129"/>
      <c r="D96" s="129"/>
      <c r="E96" s="129"/>
      <c r="F96" s="129"/>
      <c r="G96" s="129"/>
      <c r="H96" s="129"/>
      <c r="I96" s="133" t="s">
        <v>45</v>
      </c>
      <c r="J96" s="128" t="s">
        <v>367</v>
      </c>
      <c r="K96" s="130"/>
      <c r="L96" s="130"/>
      <c r="M96" s="130"/>
      <c r="N96" s="130"/>
      <c r="O96" s="130"/>
      <c r="P96" s="130"/>
      <c r="Q96" s="130"/>
      <c r="R96" s="130"/>
      <c r="S96" s="130"/>
    </row>
    <row r="97" spans="1:20" x14ac:dyDescent="0.25">
      <c r="A97" s="133" t="s">
        <v>454</v>
      </c>
      <c r="B97" s="86" t="s">
        <v>386</v>
      </c>
      <c r="C97" s="129">
        <v>90</v>
      </c>
      <c r="D97" s="129">
        <v>56</v>
      </c>
      <c r="E97" s="129">
        <v>27</v>
      </c>
      <c r="F97" s="129">
        <f t="shared" si="3"/>
        <v>62.999999999999993</v>
      </c>
      <c r="G97" s="129">
        <f t="shared" si="3"/>
        <v>39.199999999999996</v>
      </c>
      <c r="H97" s="129">
        <f t="shared" si="3"/>
        <v>18.899999999999999</v>
      </c>
      <c r="I97" s="133" t="s">
        <v>454</v>
      </c>
      <c r="J97" s="86" t="s">
        <v>386</v>
      </c>
      <c r="K97" s="130">
        <f>90*1.1</f>
        <v>99.000000000000014</v>
      </c>
      <c r="L97" s="130">
        <f>56*1.1</f>
        <v>61.600000000000009</v>
      </c>
      <c r="M97" s="130">
        <f>27*1.1</f>
        <v>29.700000000000003</v>
      </c>
      <c r="N97" s="130">
        <f t="shared" si="4"/>
        <v>69.300000000000011</v>
      </c>
      <c r="O97" s="130">
        <f t="shared" si="4"/>
        <v>43.120000000000005</v>
      </c>
      <c r="P97" s="130">
        <f t="shared" si="4"/>
        <v>20.79</v>
      </c>
      <c r="Q97" s="130">
        <f t="shared" si="5"/>
        <v>10.000000000000028</v>
      </c>
      <c r="R97" s="130">
        <f t="shared" si="5"/>
        <v>10.000000000000028</v>
      </c>
      <c r="S97" s="130">
        <f t="shared" si="5"/>
        <v>10.000000000000014</v>
      </c>
    </row>
    <row r="98" spans="1:20" x14ac:dyDescent="0.25">
      <c r="A98" s="133" t="s">
        <v>454</v>
      </c>
      <c r="B98" s="86" t="s">
        <v>371</v>
      </c>
      <c r="C98" s="129">
        <v>80</v>
      </c>
      <c r="D98" s="129">
        <v>40</v>
      </c>
      <c r="E98" s="129">
        <v>25</v>
      </c>
      <c r="F98" s="129">
        <f t="shared" si="3"/>
        <v>56</v>
      </c>
      <c r="G98" s="129">
        <f t="shared" si="3"/>
        <v>28</v>
      </c>
      <c r="H98" s="129">
        <f t="shared" si="3"/>
        <v>17.5</v>
      </c>
      <c r="I98" s="133" t="s">
        <v>454</v>
      </c>
      <c r="J98" s="86" t="s">
        <v>371</v>
      </c>
      <c r="K98" s="130">
        <f>80*1.1</f>
        <v>88</v>
      </c>
      <c r="L98" s="130">
        <f>40*1.1</f>
        <v>44</v>
      </c>
      <c r="M98" s="130">
        <f>25*1.1</f>
        <v>27.500000000000004</v>
      </c>
      <c r="N98" s="130">
        <f t="shared" si="4"/>
        <v>61.599999999999994</v>
      </c>
      <c r="O98" s="130">
        <f t="shared" si="4"/>
        <v>30.799999999999997</v>
      </c>
      <c r="P98" s="130">
        <f t="shared" si="4"/>
        <v>19.25</v>
      </c>
      <c r="Q98" s="130">
        <f t="shared" si="5"/>
        <v>9.9999999999999858</v>
      </c>
      <c r="R98" s="130">
        <f t="shared" si="5"/>
        <v>9.9999999999999858</v>
      </c>
      <c r="S98" s="130">
        <f t="shared" si="5"/>
        <v>10.000000000000014</v>
      </c>
    </row>
    <row r="99" spans="1:20" x14ac:dyDescent="0.25">
      <c r="A99" s="124">
        <v>7</v>
      </c>
      <c r="B99" s="126" t="s">
        <v>463</v>
      </c>
      <c r="C99" s="129"/>
      <c r="D99" s="129"/>
      <c r="E99" s="129"/>
      <c r="F99" s="129"/>
      <c r="G99" s="129"/>
      <c r="H99" s="129"/>
      <c r="I99" s="124">
        <v>7</v>
      </c>
      <c r="J99" s="126" t="s">
        <v>463</v>
      </c>
      <c r="K99" s="130"/>
      <c r="L99" s="133"/>
      <c r="M99" s="133"/>
      <c r="N99" s="130"/>
      <c r="O99" s="130"/>
      <c r="P99" s="130"/>
      <c r="Q99" s="130"/>
      <c r="R99" s="130"/>
      <c r="S99" s="130"/>
    </row>
    <row r="100" spans="1:20" ht="49.5" x14ac:dyDescent="0.25">
      <c r="A100" s="133" t="s">
        <v>141</v>
      </c>
      <c r="B100" s="128" t="s">
        <v>464</v>
      </c>
      <c r="C100" s="140">
        <v>250</v>
      </c>
      <c r="D100" s="140">
        <v>130</v>
      </c>
      <c r="E100" s="140">
        <v>80</v>
      </c>
      <c r="F100" s="141">
        <f t="shared" ref="F100:H102" si="6">C100*70%</f>
        <v>175</v>
      </c>
      <c r="G100" s="141">
        <f t="shared" si="6"/>
        <v>91</v>
      </c>
      <c r="H100" s="141">
        <f t="shared" si="6"/>
        <v>56</v>
      </c>
      <c r="I100" s="133" t="s">
        <v>141</v>
      </c>
      <c r="J100" s="128" t="s">
        <v>464</v>
      </c>
      <c r="K100" s="140">
        <f>250*1.1</f>
        <v>275</v>
      </c>
      <c r="L100" s="140">
        <f>130*1.1</f>
        <v>143</v>
      </c>
      <c r="M100" s="140">
        <f>80*1.1</f>
        <v>88</v>
      </c>
      <c r="N100" s="130">
        <f>K100*70%</f>
        <v>192.5</v>
      </c>
      <c r="O100" s="130">
        <f>L100*70%</f>
        <v>100.1</v>
      </c>
      <c r="P100" s="130">
        <f>M100*70%</f>
        <v>61.599999999999994</v>
      </c>
      <c r="Q100" s="130">
        <f t="shared" ref="Q100:S102" si="7">(N100/F100)*100-100</f>
        <v>10.000000000000014</v>
      </c>
      <c r="R100" s="130">
        <f t="shared" si="7"/>
        <v>9.9999999999999858</v>
      </c>
      <c r="S100" s="130">
        <f t="shared" si="7"/>
        <v>9.9999999999999858</v>
      </c>
      <c r="T100" s="244"/>
    </row>
    <row r="101" spans="1:20" ht="49.5" x14ac:dyDescent="0.25">
      <c r="A101" s="133" t="s">
        <v>465</v>
      </c>
      <c r="B101" s="128" t="s">
        <v>466</v>
      </c>
      <c r="C101" s="140">
        <v>200</v>
      </c>
      <c r="D101" s="140">
        <v>110</v>
      </c>
      <c r="E101" s="140">
        <v>60</v>
      </c>
      <c r="F101" s="141">
        <f t="shared" si="6"/>
        <v>140</v>
      </c>
      <c r="G101" s="141">
        <f t="shared" si="6"/>
        <v>77</v>
      </c>
      <c r="H101" s="141">
        <f t="shared" si="6"/>
        <v>42</v>
      </c>
      <c r="I101" s="133" t="s">
        <v>465</v>
      </c>
      <c r="J101" s="128" t="s">
        <v>466</v>
      </c>
      <c r="K101" s="140">
        <f>200*1.1</f>
        <v>220.00000000000003</v>
      </c>
      <c r="L101" s="140">
        <f>110*1.1</f>
        <v>121.00000000000001</v>
      </c>
      <c r="M101" s="140">
        <f>60*1.1</f>
        <v>66</v>
      </c>
      <c r="N101" s="130">
        <f t="shared" si="4"/>
        <v>154</v>
      </c>
      <c r="O101" s="130">
        <f t="shared" si="4"/>
        <v>84.7</v>
      </c>
      <c r="P101" s="130">
        <f t="shared" si="4"/>
        <v>46.199999999999996</v>
      </c>
      <c r="Q101" s="130">
        <f t="shared" si="7"/>
        <v>10.000000000000014</v>
      </c>
      <c r="R101" s="130">
        <f t="shared" si="7"/>
        <v>10.000000000000014</v>
      </c>
      <c r="S101" s="130">
        <f t="shared" si="7"/>
        <v>9.9999999999999858</v>
      </c>
      <c r="T101" s="244"/>
    </row>
    <row r="102" spans="1:20" ht="49.5" x14ac:dyDescent="0.25">
      <c r="A102" s="133" t="s">
        <v>467</v>
      </c>
      <c r="B102" s="128" t="s">
        <v>468</v>
      </c>
      <c r="C102" s="133">
        <v>170</v>
      </c>
      <c r="D102" s="133">
        <v>90</v>
      </c>
      <c r="E102" s="133">
        <v>50</v>
      </c>
      <c r="F102" s="141">
        <f t="shared" si="6"/>
        <v>118.99999999999999</v>
      </c>
      <c r="G102" s="141">
        <f t="shared" si="6"/>
        <v>62.999999999999993</v>
      </c>
      <c r="H102" s="141">
        <f t="shared" si="6"/>
        <v>35</v>
      </c>
      <c r="I102" s="133" t="s">
        <v>467</v>
      </c>
      <c r="J102" s="128" t="s">
        <v>468</v>
      </c>
      <c r="K102" s="133">
        <f>170*1.1</f>
        <v>187.00000000000003</v>
      </c>
      <c r="L102" s="133">
        <f>90*1.1</f>
        <v>99.000000000000014</v>
      </c>
      <c r="M102" s="133">
        <f>50*1.1</f>
        <v>55.000000000000007</v>
      </c>
      <c r="N102" s="130">
        <f t="shared" si="4"/>
        <v>130.9</v>
      </c>
      <c r="O102" s="130">
        <f t="shared" si="4"/>
        <v>69.300000000000011</v>
      </c>
      <c r="P102" s="130">
        <f t="shared" si="4"/>
        <v>38.5</v>
      </c>
      <c r="Q102" s="130">
        <f t="shared" si="7"/>
        <v>10.000000000000014</v>
      </c>
      <c r="R102" s="130">
        <f t="shared" si="7"/>
        <v>10.000000000000028</v>
      </c>
      <c r="S102" s="130">
        <f t="shared" si="7"/>
        <v>10.000000000000014</v>
      </c>
      <c r="T102" s="244"/>
    </row>
    <row r="103" spans="1:20" x14ac:dyDescent="0.25">
      <c r="A103" s="133" t="s">
        <v>142</v>
      </c>
      <c r="B103" s="128" t="s">
        <v>360</v>
      </c>
      <c r="C103" s="129"/>
      <c r="D103" s="129"/>
      <c r="E103" s="129"/>
      <c r="F103" s="129"/>
      <c r="G103" s="129"/>
      <c r="H103" s="129"/>
      <c r="I103" s="133" t="s">
        <v>142</v>
      </c>
      <c r="J103" s="128" t="s">
        <v>360</v>
      </c>
      <c r="K103" s="130"/>
      <c r="L103" s="133"/>
      <c r="M103" s="133"/>
      <c r="N103" s="130"/>
      <c r="O103" s="130"/>
      <c r="P103" s="130"/>
      <c r="Q103" s="130"/>
      <c r="R103" s="130"/>
      <c r="S103" s="130"/>
    </row>
    <row r="104" spans="1:20" x14ac:dyDescent="0.25">
      <c r="A104" s="133" t="s">
        <v>454</v>
      </c>
      <c r="B104" s="128" t="s">
        <v>469</v>
      </c>
      <c r="C104" s="129">
        <v>110</v>
      </c>
      <c r="D104" s="129">
        <v>70</v>
      </c>
      <c r="E104" s="129">
        <v>33</v>
      </c>
      <c r="F104" s="129">
        <f t="shared" si="3"/>
        <v>77</v>
      </c>
      <c r="G104" s="129">
        <f t="shared" si="3"/>
        <v>49</v>
      </c>
      <c r="H104" s="129">
        <f t="shared" si="3"/>
        <v>23.099999999999998</v>
      </c>
      <c r="I104" s="133" t="s">
        <v>454</v>
      </c>
      <c r="J104" s="128" t="s">
        <v>469</v>
      </c>
      <c r="K104" s="130">
        <f>110*1.1</f>
        <v>121.00000000000001</v>
      </c>
      <c r="L104" s="130">
        <f>70*1.1</f>
        <v>77</v>
      </c>
      <c r="M104" s="130">
        <f>33*1.1</f>
        <v>36.300000000000004</v>
      </c>
      <c r="N104" s="130">
        <f t="shared" si="4"/>
        <v>84.7</v>
      </c>
      <c r="O104" s="130">
        <f t="shared" si="4"/>
        <v>53.9</v>
      </c>
      <c r="P104" s="130">
        <f t="shared" si="4"/>
        <v>25.41</v>
      </c>
      <c r="Q104" s="130">
        <f t="shared" si="5"/>
        <v>10.000000000000014</v>
      </c>
      <c r="R104" s="130">
        <f t="shared" si="5"/>
        <v>9.9999999999999858</v>
      </c>
      <c r="S104" s="130">
        <f t="shared" si="5"/>
        <v>10.000000000000014</v>
      </c>
    </row>
    <row r="105" spans="1:20" x14ac:dyDescent="0.25">
      <c r="A105" s="133" t="s">
        <v>454</v>
      </c>
      <c r="B105" s="128" t="s">
        <v>365</v>
      </c>
      <c r="C105" s="129">
        <v>100</v>
      </c>
      <c r="D105" s="129">
        <v>50</v>
      </c>
      <c r="E105" s="129">
        <v>30</v>
      </c>
      <c r="F105" s="129">
        <f t="shared" si="3"/>
        <v>70</v>
      </c>
      <c r="G105" s="129">
        <f t="shared" si="3"/>
        <v>35</v>
      </c>
      <c r="H105" s="129">
        <f t="shared" si="3"/>
        <v>21</v>
      </c>
      <c r="I105" s="133" t="s">
        <v>454</v>
      </c>
      <c r="J105" s="128" t="s">
        <v>365</v>
      </c>
      <c r="K105" s="130">
        <f>100*1.1</f>
        <v>110.00000000000001</v>
      </c>
      <c r="L105" s="130">
        <f>50*1.1</f>
        <v>55.000000000000007</v>
      </c>
      <c r="M105" s="130">
        <f>30*1.1</f>
        <v>33</v>
      </c>
      <c r="N105" s="130">
        <f t="shared" si="4"/>
        <v>77</v>
      </c>
      <c r="O105" s="130">
        <f t="shared" si="4"/>
        <v>38.5</v>
      </c>
      <c r="P105" s="130">
        <f t="shared" si="4"/>
        <v>23.099999999999998</v>
      </c>
      <c r="Q105" s="130">
        <f t="shared" si="5"/>
        <v>10.000000000000014</v>
      </c>
      <c r="R105" s="130">
        <f t="shared" si="5"/>
        <v>10.000000000000014</v>
      </c>
      <c r="S105" s="130">
        <f t="shared" si="5"/>
        <v>9.9999999999999858</v>
      </c>
    </row>
    <row r="106" spans="1:20" x14ac:dyDescent="0.25">
      <c r="A106" s="133" t="s">
        <v>143</v>
      </c>
      <c r="B106" s="128" t="s">
        <v>367</v>
      </c>
      <c r="C106" s="129"/>
      <c r="D106" s="129"/>
      <c r="E106" s="129"/>
      <c r="F106" s="129"/>
      <c r="G106" s="129"/>
      <c r="H106" s="129"/>
      <c r="I106" s="133" t="s">
        <v>143</v>
      </c>
      <c r="J106" s="128" t="s">
        <v>367</v>
      </c>
      <c r="K106" s="130"/>
      <c r="L106" s="130"/>
      <c r="M106" s="130"/>
      <c r="N106" s="130"/>
      <c r="O106" s="130"/>
      <c r="P106" s="130"/>
      <c r="Q106" s="130"/>
      <c r="R106" s="130"/>
      <c r="S106" s="130"/>
    </row>
    <row r="107" spans="1:20" x14ac:dyDescent="0.25">
      <c r="A107" s="133" t="s">
        <v>454</v>
      </c>
      <c r="B107" s="128" t="s">
        <v>386</v>
      </c>
      <c r="C107" s="129">
        <v>90</v>
      </c>
      <c r="D107" s="129">
        <v>56</v>
      </c>
      <c r="E107" s="129">
        <v>27</v>
      </c>
      <c r="F107" s="129">
        <f t="shared" si="3"/>
        <v>62.999999999999993</v>
      </c>
      <c r="G107" s="129">
        <f t="shared" si="3"/>
        <v>39.199999999999996</v>
      </c>
      <c r="H107" s="129">
        <f t="shared" si="3"/>
        <v>18.899999999999999</v>
      </c>
      <c r="I107" s="133" t="s">
        <v>454</v>
      </c>
      <c r="J107" s="128" t="s">
        <v>386</v>
      </c>
      <c r="K107" s="130">
        <f>90*1.1</f>
        <v>99.000000000000014</v>
      </c>
      <c r="L107" s="130">
        <f>56*1.1</f>
        <v>61.600000000000009</v>
      </c>
      <c r="M107" s="130">
        <f>27*1.1</f>
        <v>29.700000000000003</v>
      </c>
      <c r="N107" s="130">
        <f t="shared" si="4"/>
        <v>69.300000000000011</v>
      </c>
      <c r="O107" s="130">
        <f t="shared" si="4"/>
        <v>43.120000000000005</v>
      </c>
      <c r="P107" s="130">
        <f t="shared" si="4"/>
        <v>20.79</v>
      </c>
      <c r="Q107" s="130">
        <f t="shared" si="5"/>
        <v>10.000000000000028</v>
      </c>
      <c r="R107" s="130">
        <f t="shared" si="5"/>
        <v>10.000000000000028</v>
      </c>
      <c r="S107" s="130">
        <f t="shared" si="5"/>
        <v>10.000000000000014</v>
      </c>
    </row>
    <row r="108" spans="1:20" x14ac:dyDescent="0.25">
      <c r="A108" s="133" t="s">
        <v>454</v>
      </c>
      <c r="B108" s="128" t="s">
        <v>371</v>
      </c>
      <c r="C108" s="129">
        <v>80</v>
      </c>
      <c r="D108" s="129">
        <v>40</v>
      </c>
      <c r="E108" s="129">
        <v>25</v>
      </c>
      <c r="F108" s="129">
        <f t="shared" si="3"/>
        <v>56</v>
      </c>
      <c r="G108" s="129">
        <f t="shared" si="3"/>
        <v>28</v>
      </c>
      <c r="H108" s="129">
        <f t="shared" si="3"/>
        <v>17.5</v>
      </c>
      <c r="I108" s="133" t="s">
        <v>454</v>
      </c>
      <c r="J108" s="128" t="s">
        <v>371</v>
      </c>
      <c r="K108" s="130">
        <f>80*1.1</f>
        <v>88</v>
      </c>
      <c r="L108" s="130">
        <f>40*1.1</f>
        <v>44</v>
      </c>
      <c r="M108" s="130">
        <f>25*1.1</f>
        <v>27.500000000000004</v>
      </c>
      <c r="N108" s="130">
        <f t="shared" si="4"/>
        <v>61.599999999999994</v>
      </c>
      <c r="O108" s="130">
        <f t="shared" si="4"/>
        <v>30.799999999999997</v>
      </c>
      <c r="P108" s="130">
        <f t="shared" si="4"/>
        <v>19.25</v>
      </c>
      <c r="Q108" s="130">
        <f t="shared" si="5"/>
        <v>9.9999999999999858</v>
      </c>
      <c r="R108" s="130">
        <f t="shared" si="5"/>
        <v>9.9999999999999858</v>
      </c>
      <c r="S108" s="130">
        <f t="shared" si="5"/>
        <v>10.000000000000014</v>
      </c>
    </row>
    <row r="109" spans="1:20" x14ac:dyDescent="0.25">
      <c r="A109" s="124">
        <v>8</v>
      </c>
      <c r="B109" s="126" t="s">
        <v>470</v>
      </c>
      <c r="C109" s="129"/>
      <c r="D109" s="129"/>
      <c r="E109" s="129"/>
      <c r="F109" s="129"/>
      <c r="G109" s="129"/>
      <c r="H109" s="129"/>
      <c r="I109" s="124">
        <v>8</v>
      </c>
      <c r="J109" s="126" t="s">
        <v>470</v>
      </c>
      <c r="K109" s="130"/>
      <c r="L109" s="130"/>
      <c r="M109" s="130"/>
      <c r="N109" s="130"/>
      <c r="O109" s="130"/>
      <c r="P109" s="130"/>
      <c r="Q109" s="130"/>
      <c r="R109" s="130"/>
      <c r="S109" s="130"/>
    </row>
    <row r="110" spans="1:20" x14ac:dyDescent="0.25">
      <c r="A110" s="133" t="s">
        <v>13</v>
      </c>
      <c r="B110" s="128" t="s">
        <v>471</v>
      </c>
      <c r="C110" s="129">
        <v>250</v>
      </c>
      <c r="D110" s="129">
        <v>125</v>
      </c>
      <c r="E110" s="129">
        <v>75</v>
      </c>
      <c r="F110" s="129">
        <f t="shared" si="3"/>
        <v>175</v>
      </c>
      <c r="G110" s="129">
        <f t="shared" si="3"/>
        <v>87.5</v>
      </c>
      <c r="H110" s="129">
        <f t="shared" si="3"/>
        <v>52.5</v>
      </c>
      <c r="I110" s="133" t="s">
        <v>13</v>
      </c>
      <c r="J110" s="128" t="s">
        <v>471</v>
      </c>
      <c r="K110" s="130">
        <f>250*1.1</f>
        <v>275</v>
      </c>
      <c r="L110" s="130">
        <f>125*1.1</f>
        <v>137.5</v>
      </c>
      <c r="M110" s="130">
        <f>75*1.1</f>
        <v>82.5</v>
      </c>
      <c r="N110" s="130">
        <f t="shared" si="4"/>
        <v>192.5</v>
      </c>
      <c r="O110" s="130">
        <f t="shared" si="4"/>
        <v>96.25</v>
      </c>
      <c r="P110" s="130">
        <f t="shared" si="4"/>
        <v>57.749999999999993</v>
      </c>
      <c r="Q110" s="130">
        <f t="shared" si="5"/>
        <v>10.000000000000014</v>
      </c>
      <c r="R110" s="130">
        <f t="shared" si="5"/>
        <v>10.000000000000014</v>
      </c>
      <c r="S110" s="130">
        <f t="shared" si="5"/>
        <v>9.9999999999999858</v>
      </c>
    </row>
    <row r="111" spans="1:20" ht="33" x14ac:dyDescent="0.25">
      <c r="A111" s="133" t="s">
        <v>15</v>
      </c>
      <c r="B111" s="128" t="s">
        <v>472</v>
      </c>
      <c r="C111" s="129">
        <v>220</v>
      </c>
      <c r="D111" s="129">
        <v>110</v>
      </c>
      <c r="E111" s="129">
        <v>66</v>
      </c>
      <c r="F111" s="129">
        <f t="shared" si="3"/>
        <v>154</v>
      </c>
      <c r="G111" s="129">
        <f t="shared" si="3"/>
        <v>77</v>
      </c>
      <c r="H111" s="129">
        <f t="shared" si="3"/>
        <v>46.199999999999996</v>
      </c>
      <c r="I111" s="133" t="s">
        <v>15</v>
      </c>
      <c r="J111" s="128" t="s">
        <v>472</v>
      </c>
      <c r="K111" s="130">
        <f>220*1.1</f>
        <v>242.00000000000003</v>
      </c>
      <c r="L111" s="130">
        <f>110*1.1</f>
        <v>121.00000000000001</v>
      </c>
      <c r="M111" s="130">
        <f>66*1.1</f>
        <v>72.600000000000009</v>
      </c>
      <c r="N111" s="130">
        <f t="shared" si="4"/>
        <v>169.4</v>
      </c>
      <c r="O111" s="130">
        <f t="shared" si="4"/>
        <v>84.7</v>
      </c>
      <c r="P111" s="130">
        <f t="shared" si="4"/>
        <v>50.82</v>
      </c>
      <c r="Q111" s="130">
        <f t="shared" si="5"/>
        <v>10.000000000000014</v>
      </c>
      <c r="R111" s="130">
        <f t="shared" si="5"/>
        <v>10.000000000000014</v>
      </c>
      <c r="S111" s="130">
        <f t="shared" si="5"/>
        <v>10.000000000000014</v>
      </c>
    </row>
    <row r="112" spans="1:20" x14ac:dyDescent="0.25">
      <c r="A112" s="133" t="s">
        <v>16</v>
      </c>
      <c r="B112" s="128" t="s">
        <v>360</v>
      </c>
      <c r="C112" s="129"/>
      <c r="D112" s="129"/>
      <c r="E112" s="129"/>
      <c r="F112" s="129"/>
      <c r="G112" s="129"/>
      <c r="H112" s="129"/>
      <c r="I112" s="133" t="s">
        <v>16</v>
      </c>
      <c r="J112" s="128" t="s">
        <v>360</v>
      </c>
      <c r="K112" s="130"/>
      <c r="L112" s="130"/>
      <c r="M112" s="130"/>
      <c r="N112" s="130"/>
      <c r="O112" s="130"/>
      <c r="P112" s="130"/>
      <c r="Q112" s="130"/>
      <c r="R112" s="130"/>
      <c r="S112" s="130"/>
    </row>
    <row r="113" spans="1:19" x14ac:dyDescent="0.25">
      <c r="A113" s="133" t="s">
        <v>454</v>
      </c>
      <c r="B113" s="128" t="s">
        <v>383</v>
      </c>
      <c r="C113" s="129">
        <v>120</v>
      </c>
      <c r="D113" s="129">
        <v>62.999999999999993</v>
      </c>
      <c r="E113" s="129">
        <v>56</v>
      </c>
      <c r="F113" s="129">
        <f t="shared" si="3"/>
        <v>84</v>
      </c>
      <c r="G113" s="129">
        <f t="shared" si="3"/>
        <v>44.099999999999994</v>
      </c>
      <c r="H113" s="129">
        <f t="shared" si="3"/>
        <v>39.199999999999996</v>
      </c>
      <c r="I113" s="133" t="s">
        <v>454</v>
      </c>
      <c r="J113" s="128" t="s">
        <v>383</v>
      </c>
      <c r="K113" s="130">
        <f>120*1.1</f>
        <v>132</v>
      </c>
      <c r="L113" s="130">
        <f>63*1.1</f>
        <v>69.300000000000011</v>
      </c>
      <c r="M113" s="130">
        <f>56*1.1</f>
        <v>61.600000000000009</v>
      </c>
      <c r="N113" s="130">
        <f t="shared" si="4"/>
        <v>92.399999999999991</v>
      </c>
      <c r="O113" s="130">
        <f t="shared" si="4"/>
        <v>48.510000000000005</v>
      </c>
      <c r="P113" s="130">
        <f t="shared" si="4"/>
        <v>43.120000000000005</v>
      </c>
      <c r="Q113" s="130">
        <f t="shared" si="5"/>
        <v>9.9999999999999858</v>
      </c>
      <c r="R113" s="130">
        <f t="shared" si="5"/>
        <v>10.000000000000028</v>
      </c>
      <c r="S113" s="130">
        <f t="shared" si="5"/>
        <v>10.000000000000028</v>
      </c>
    </row>
    <row r="114" spans="1:19" x14ac:dyDescent="0.25">
      <c r="A114" s="133" t="s">
        <v>454</v>
      </c>
      <c r="B114" s="128" t="s">
        <v>365</v>
      </c>
      <c r="C114" s="129">
        <v>110</v>
      </c>
      <c r="D114" s="129">
        <v>55</v>
      </c>
      <c r="E114" s="129">
        <v>33</v>
      </c>
      <c r="F114" s="129">
        <f t="shared" si="3"/>
        <v>77</v>
      </c>
      <c r="G114" s="129">
        <f t="shared" si="3"/>
        <v>38.5</v>
      </c>
      <c r="H114" s="129">
        <f t="shared" si="3"/>
        <v>23.099999999999998</v>
      </c>
      <c r="I114" s="133" t="s">
        <v>454</v>
      </c>
      <c r="J114" s="128" t="s">
        <v>365</v>
      </c>
      <c r="K114" s="130">
        <f>110*1.1</f>
        <v>121.00000000000001</v>
      </c>
      <c r="L114" s="130">
        <f>55*1.1</f>
        <v>60.500000000000007</v>
      </c>
      <c r="M114" s="130">
        <f>33*1.1</f>
        <v>36.300000000000004</v>
      </c>
      <c r="N114" s="130">
        <f t="shared" si="4"/>
        <v>84.7</v>
      </c>
      <c r="O114" s="130">
        <f t="shared" si="4"/>
        <v>42.35</v>
      </c>
      <c r="P114" s="130">
        <f t="shared" si="4"/>
        <v>25.41</v>
      </c>
      <c r="Q114" s="130">
        <f t="shared" si="5"/>
        <v>10.000000000000014</v>
      </c>
      <c r="R114" s="130">
        <f t="shared" si="5"/>
        <v>10.000000000000014</v>
      </c>
      <c r="S114" s="130">
        <f t="shared" si="5"/>
        <v>10.000000000000014</v>
      </c>
    </row>
    <row r="115" spans="1:19" x14ac:dyDescent="0.25">
      <c r="A115" s="133" t="s">
        <v>155</v>
      </c>
      <c r="B115" s="128" t="s">
        <v>367</v>
      </c>
      <c r="C115" s="129"/>
      <c r="D115" s="129"/>
      <c r="E115" s="129"/>
      <c r="F115" s="129"/>
      <c r="G115" s="129"/>
      <c r="H115" s="129"/>
      <c r="I115" s="133" t="s">
        <v>155</v>
      </c>
      <c r="J115" s="128" t="s">
        <v>367</v>
      </c>
      <c r="K115" s="130"/>
      <c r="L115" s="130"/>
      <c r="M115" s="130"/>
      <c r="N115" s="130"/>
      <c r="O115" s="130"/>
      <c r="P115" s="130"/>
      <c r="Q115" s="130"/>
      <c r="R115" s="130"/>
      <c r="S115" s="130"/>
    </row>
    <row r="116" spans="1:19" x14ac:dyDescent="0.25">
      <c r="A116" s="133" t="s">
        <v>454</v>
      </c>
      <c r="B116" s="128" t="s">
        <v>473</v>
      </c>
      <c r="C116" s="129">
        <v>90</v>
      </c>
      <c r="D116" s="129">
        <v>56</v>
      </c>
      <c r="E116" s="129">
        <v>27</v>
      </c>
      <c r="F116" s="129">
        <f t="shared" si="3"/>
        <v>62.999999999999993</v>
      </c>
      <c r="G116" s="129">
        <f t="shared" si="3"/>
        <v>39.199999999999996</v>
      </c>
      <c r="H116" s="129">
        <f t="shared" si="3"/>
        <v>18.899999999999999</v>
      </c>
      <c r="I116" s="133" t="s">
        <v>454</v>
      </c>
      <c r="J116" s="128" t="s">
        <v>473</v>
      </c>
      <c r="K116" s="130">
        <f>90*1.1</f>
        <v>99.000000000000014</v>
      </c>
      <c r="L116" s="130">
        <f>56*1.1</f>
        <v>61.600000000000009</v>
      </c>
      <c r="M116" s="130">
        <f>27*1.1</f>
        <v>29.700000000000003</v>
      </c>
      <c r="N116" s="130">
        <f t="shared" si="4"/>
        <v>69.300000000000011</v>
      </c>
      <c r="O116" s="130">
        <f t="shared" si="4"/>
        <v>43.120000000000005</v>
      </c>
      <c r="P116" s="130">
        <f t="shared" si="4"/>
        <v>20.79</v>
      </c>
      <c r="Q116" s="130">
        <f t="shared" si="5"/>
        <v>10.000000000000028</v>
      </c>
      <c r="R116" s="130">
        <f t="shared" si="5"/>
        <v>10.000000000000028</v>
      </c>
      <c r="S116" s="130">
        <f t="shared" si="5"/>
        <v>10.000000000000014</v>
      </c>
    </row>
    <row r="117" spans="1:19" x14ac:dyDescent="0.25">
      <c r="A117" s="133" t="s">
        <v>454</v>
      </c>
      <c r="B117" s="128" t="s">
        <v>371</v>
      </c>
      <c r="C117" s="129">
        <v>80</v>
      </c>
      <c r="D117" s="129">
        <v>40</v>
      </c>
      <c r="E117" s="129">
        <v>25</v>
      </c>
      <c r="F117" s="129">
        <f t="shared" si="3"/>
        <v>56</v>
      </c>
      <c r="G117" s="129">
        <f t="shared" si="3"/>
        <v>28</v>
      </c>
      <c r="H117" s="129">
        <f t="shared" si="3"/>
        <v>17.5</v>
      </c>
      <c r="I117" s="133" t="s">
        <v>454</v>
      </c>
      <c r="J117" s="128" t="s">
        <v>371</v>
      </c>
      <c r="K117" s="130">
        <f>80*1.1</f>
        <v>88</v>
      </c>
      <c r="L117" s="130">
        <f>40*1.1</f>
        <v>44</v>
      </c>
      <c r="M117" s="130">
        <f>25*1.1</f>
        <v>27.500000000000004</v>
      </c>
      <c r="N117" s="130">
        <f t="shared" si="4"/>
        <v>61.599999999999994</v>
      </c>
      <c r="O117" s="130">
        <f t="shared" si="4"/>
        <v>30.799999999999997</v>
      </c>
      <c r="P117" s="130">
        <f t="shared" si="4"/>
        <v>19.25</v>
      </c>
      <c r="Q117" s="130">
        <f t="shared" si="5"/>
        <v>9.9999999999999858</v>
      </c>
      <c r="R117" s="130">
        <f t="shared" si="5"/>
        <v>9.9999999999999858</v>
      </c>
      <c r="S117" s="130">
        <f t="shared" si="5"/>
        <v>10.000000000000014</v>
      </c>
    </row>
    <row r="118" spans="1:19" x14ac:dyDescent="0.25">
      <c r="A118" s="124">
        <v>9</v>
      </c>
      <c r="B118" s="126" t="s">
        <v>474</v>
      </c>
      <c r="C118" s="129"/>
      <c r="D118" s="129"/>
      <c r="E118" s="129"/>
      <c r="F118" s="129"/>
      <c r="G118" s="129"/>
      <c r="H118" s="129"/>
      <c r="I118" s="124">
        <v>9</v>
      </c>
      <c r="J118" s="126" t="s">
        <v>474</v>
      </c>
      <c r="K118" s="130"/>
      <c r="L118" s="130"/>
      <c r="M118" s="130"/>
      <c r="N118" s="130"/>
      <c r="O118" s="130"/>
      <c r="P118" s="130"/>
      <c r="Q118" s="130"/>
      <c r="R118" s="130"/>
      <c r="S118" s="130"/>
    </row>
    <row r="119" spans="1:19" x14ac:dyDescent="0.25">
      <c r="A119" s="133" t="s">
        <v>159</v>
      </c>
      <c r="B119" s="128" t="s">
        <v>475</v>
      </c>
      <c r="C119" s="129">
        <v>230</v>
      </c>
      <c r="D119" s="129">
        <v>115</v>
      </c>
      <c r="E119" s="129">
        <v>69</v>
      </c>
      <c r="F119" s="129">
        <f t="shared" si="3"/>
        <v>161</v>
      </c>
      <c r="G119" s="129">
        <f t="shared" si="3"/>
        <v>80.5</v>
      </c>
      <c r="H119" s="129">
        <f t="shared" si="3"/>
        <v>48.3</v>
      </c>
      <c r="I119" s="133" t="s">
        <v>159</v>
      </c>
      <c r="J119" s="128" t="s">
        <v>475</v>
      </c>
      <c r="K119" s="130">
        <f>230*1.1</f>
        <v>253.00000000000003</v>
      </c>
      <c r="L119" s="130">
        <f>115*1.1</f>
        <v>126.50000000000001</v>
      </c>
      <c r="M119" s="130">
        <f>69*1.1</f>
        <v>75.900000000000006</v>
      </c>
      <c r="N119" s="130">
        <f t="shared" si="4"/>
        <v>177.10000000000002</v>
      </c>
      <c r="O119" s="130">
        <f t="shared" si="4"/>
        <v>88.550000000000011</v>
      </c>
      <c r="P119" s="130">
        <f t="shared" si="4"/>
        <v>53.13</v>
      </c>
      <c r="Q119" s="130">
        <f t="shared" si="5"/>
        <v>10.000000000000014</v>
      </c>
      <c r="R119" s="130">
        <f t="shared" si="5"/>
        <v>10.000000000000014</v>
      </c>
      <c r="S119" s="130">
        <f t="shared" si="5"/>
        <v>10.000000000000014</v>
      </c>
    </row>
    <row r="120" spans="1:19" x14ac:dyDescent="0.25">
      <c r="A120" s="133" t="s">
        <v>160</v>
      </c>
      <c r="B120" s="128" t="s">
        <v>360</v>
      </c>
      <c r="C120" s="129"/>
      <c r="D120" s="129"/>
      <c r="E120" s="129"/>
      <c r="F120" s="129"/>
      <c r="G120" s="129"/>
      <c r="H120" s="129"/>
      <c r="I120" s="133" t="s">
        <v>160</v>
      </c>
      <c r="J120" s="128" t="s">
        <v>360</v>
      </c>
      <c r="K120" s="130"/>
      <c r="L120" s="130"/>
      <c r="M120" s="130"/>
      <c r="N120" s="130"/>
      <c r="O120" s="130"/>
      <c r="P120" s="130"/>
      <c r="Q120" s="130"/>
      <c r="R120" s="130"/>
      <c r="S120" s="130"/>
    </row>
    <row r="121" spans="1:19" x14ac:dyDescent="0.25">
      <c r="A121" s="133" t="s">
        <v>454</v>
      </c>
      <c r="B121" s="128" t="s">
        <v>383</v>
      </c>
      <c r="C121" s="129">
        <v>110</v>
      </c>
      <c r="D121" s="129">
        <v>70</v>
      </c>
      <c r="E121" s="129">
        <v>33</v>
      </c>
      <c r="F121" s="129">
        <f t="shared" si="3"/>
        <v>77</v>
      </c>
      <c r="G121" s="129">
        <f t="shared" si="3"/>
        <v>49</v>
      </c>
      <c r="H121" s="129">
        <f t="shared" si="3"/>
        <v>23.099999999999998</v>
      </c>
      <c r="I121" s="133" t="s">
        <v>454</v>
      </c>
      <c r="J121" s="128" t="s">
        <v>383</v>
      </c>
      <c r="K121" s="130">
        <f>110*1.1</f>
        <v>121.00000000000001</v>
      </c>
      <c r="L121" s="130">
        <f>70*1.1</f>
        <v>77</v>
      </c>
      <c r="M121" s="130">
        <f>33*1.1</f>
        <v>36.300000000000004</v>
      </c>
      <c r="N121" s="130">
        <f t="shared" si="4"/>
        <v>84.7</v>
      </c>
      <c r="O121" s="130">
        <f t="shared" si="4"/>
        <v>53.9</v>
      </c>
      <c r="P121" s="130">
        <f t="shared" si="4"/>
        <v>25.41</v>
      </c>
      <c r="Q121" s="130">
        <f t="shared" si="5"/>
        <v>10.000000000000014</v>
      </c>
      <c r="R121" s="130">
        <f t="shared" si="5"/>
        <v>9.9999999999999858</v>
      </c>
      <c r="S121" s="130">
        <f t="shared" si="5"/>
        <v>10.000000000000014</v>
      </c>
    </row>
    <row r="122" spans="1:19" x14ac:dyDescent="0.25">
      <c r="A122" s="133" t="s">
        <v>454</v>
      </c>
      <c r="B122" s="128" t="s">
        <v>365</v>
      </c>
      <c r="C122" s="129">
        <v>100</v>
      </c>
      <c r="D122" s="129">
        <v>50</v>
      </c>
      <c r="E122" s="129">
        <v>30</v>
      </c>
      <c r="F122" s="129">
        <f t="shared" si="3"/>
        <v>70</v>
      </c>
      <c r="G122" s="129">
        <f t="shared" si="3"/>
        <v>35</v>
      </c>
      <c r="H122" s="129">
        <f t="shared" si="3"/>
        <v>21</v>
      </c>
      <c r="I122" s="133" t="s">
        <v>454</v>
      </c>
      <c r="J122" s="128" t="s">
        <v>365</v>
      </c>
      <c r="K122" s="130">
        <f>100*1.1</f>
        <v>110.00000000000001</v>
      </c>
      <c r="L122" s="130">
        <f>50*1.1</f>
        <v>55.000000000000007</v>
      </c>
      <c r="M122" s="130">
        <f>30*1.1</f>
        <v>33</v>
      </c>
      <c r="N122" s="130">
        <f t="shared" si="4"/>
        <v>77</v>
      </c>
      <c r="O122" s="130">
        <f t="shared" si="4"/>
        <v>38.5</v>
      </c>
      <c r="P122" s="130">
        <f t="shared" si="4"/>
        <v>23.099999999999998</v>
      </c>
      <c r="Q122" s="130">
        <f t="shared" si="5"/>
        <v>10.000000000000014</v>
      </c>
      <c r="R122" s="130">
        <f t="shared" si="5"/>
        <v>10.000000000000014</v>
      </c>
      <c r="S122" s="130">
        <f t="shared" si="5"/>
        <v>9.9999999999999858</v>
      </c>
    </row>
    <row r="123" spans="1:19" x14ac:dyDescent="0.25">
      <c r="A123" s="133" t="s">
        <v>161</v>
      </c>
      <c r="B123" s="128" t="s">
        <v>367</v>
      </c>
      <c r="C123" s="129"/>
      <c r="D123" s="129"/>
      <c r="E123" s="129"/>
      <c r="F123" s="129"/>
      <c r="G123" s="129"/>
      <c r="H123" s="129"/>
      <c r="I123" s="133" t="s">
        <v>161</v>
      </c>
      <c r="J123" s="128" t="s">
        <v>367</v>
      </c>
      <c r="K123" s="130"/>
      <c r="L123" s="130"/>
      <c r="M123" s="130"/>
      <c r="N123" s="130"/>
      <c r="O123" s="130"/>
      <c r="P123" s="130"/>
      <c r="Q123" s="130"/>
      <c r="R123" s="130"/>
      <c r="S123" s="130"/>
    </row>
    <row r="124" spans="1:19" x14ac:dyDescent="0.25">
      <c r="A124" s="133" t="s">
        <v>454</v>
      </c>
      <c r="B124" s="128" t="s">
        <v>473</v>
      </c>
      <c r="C124" s="129">
        <v>90</v>
      </c>
      <c r="D124" s="129">
        <v>56</v>
      </c>
      <c r="E124" s="129">
        <v>27</v>
      </c>
      <c r="F124" s="129">
        <f t="shared" si="3"/>
        <v>62.999999999999993</v>
      </c>
      <c r="G124" s="129">
        <f t="shared" si="3"/>
        <v>39.199999999999996</v>
      </c>
      <c r="H124" s="129">
        <f t="shared" si="3"/>
        <v>18.899999999999999</v>
      </c>
      <c r="I124" s="133" t="s">
        <v>454</v>
      </c>
      <c r="J124" s="128" t="s">
        <v>473</v>
      </c>
      <c r="K124" s="130">
        <f>90*1.1</f>
        <v>99.000000000000014</v>
      </c>
      <c r="L124" s="130">
        <f>56*1.1</f>
        <v>61.600000000000009</v>
      </c>
      <c r="M124" s="130">
        <f>27*1.1</f>
        <v>29.700000000000003</v>
      </c>
      <c r="N124" s="130">
        <f t="shared" si="4"/>
        <v>69.300000000000011</v>
      </c>
      <c r="O124" s="130">
        <f t="shared" si="4"/>
        <v>43.120000000000005</v>
      </c>
      <c r="P124" s="130">
        <f t="shared" si="4"/>
        <v>20.79</v>
      </c>
      <c r="Q124" s="130">
        <f t="shared" si="5"/>
        <v>10.000000000000028</v>
      </c>
      <c r="R124" s="130">
        <f t="shared" si="5"/>
        <v>10.000000000000028</v>
      </c>
      <c r="S124" s="130">
        <f t="shared" si="5"/>
        <v>10.000000000000014</v>
      </c>
    </row>
    <row r="125" spans="1:19" x14ac:dyDescent="0.25">
      <c r="A125" s="133" t="s">
        <v>454</v>
      </c>
      <c r="B125" s="128" t="s">
        <v>371</v>
      </c>
      <c r="C125" s="129">
        <v>80</v>
      </c>
      <c r="D125" s="129">
        <v>40</v>
      </c>
      <c r="E125" s="129">
        <v>25</v>
      </c>
      <c r="F125" s="129">
        <f t="shared" si="3"/>
        <v>56</v>
      </c>
      <c r="G125" s="129">
        <f t="shared" si="3"/>
        <v>28</v>
      </c>
      <c r="H125" s="129">
        <f t="shared" si="3"/>
        <v>17.5</v>
      </c>
      <c r="I125" s="133" t="s">
        <v>454</v>
      </c>
      <c r="J125" s="128" t="s">
        <v>371</v>
      </c>
      <c r="K125" s="130">
        <f>80*1.1</f>
        <v>88</v>
      </c>
      <c r="L125" s="130">
        <f>40*1.1</f>
        <v>44</v>
      </c>
      <c r="M125" s="130">
        <f>25*1.1</f>
        <v>27.500000000000004</v>
      </c>
      <c r="N125" s="130">
        <f t="shared" si="4"/>
        <v>61.599999999999994</v>
      </c>
      <c r="O125" s="130">
        <f t="shared" si="4"/>
        <v>30.799999999999997</v>
      </c>
      <c r="P125" s="130">
        <f t="shared" si="4"/>
        <v>19.25</v>
      </c>
      <c r="Q125" s="130">
        <f t="shared" si="5"/>
        <v>9.9999999999999858</v>
      </c>
      <c r="R125" s="130">
        <f t="shared" si="5"/>
        <v>9.9999999999999858</v>
      </c>
      <c r="S125" s="130">
        <f t="shared" si="5"/>
        <v>10.000000000000014</v>
      </c>
    </row>
    <row r="126" spans="1:19" ht="33" x14ac:dyDescent="0.25">
      <c r="A126" s="124">
        <v>10</v>
      </c>
      <c r="B126" s="126" t="s">
        <v>476</v>
      </c>
      <c r="C126" s="129">
        <v>600</v>
      </c>
      <c r="D126" s="129">
        <v>300</v>
      </c>
      <c r="E126" s="129">
        <v>180</v>
      </c>
      <c r="F126" s="129">
        <f t="shared" si="3"/>
        <v>420</v>
      </c>
      <c r="G126" s="129">
        <f t="shared" si="3"/>
        <v>210</v>
      </c>
      <c r="H126" s="129">
        <f t="shared" si="3"/>
        <v>125.99999999999999</v>
      </c>
      <c r="I126" s="124">
        <v>10</v>
      </c>
      <c r="J126" s="126" t="s">
        <v>476</v>
      </c>
      <c r="K126" s="130">
        <f>600*1.1</f>
        <v>660</v>
      </c>
      <c r="L126" s="130">
        <f>300*1.1</f>
        <v>330</v>
      </c>
      <c r="M126" s="130">
        <f>180*1.1</f>
        <v>198.00000000000003</v>
      </c>
      <c r="N126" s="130">
        <f t="shared" si="4"/>
        <v>461.99999999999994</v>
      </c>
      <c r="O126" s="130">
        <f t="shared" si="4"/>
        <v>230.99999999999997</v>
      </c>
      <c r="P126" s="130">
        <f t="shared" si="4"/>
        <v>138.60000000000002</v>
      </c>
      <c r="Q126" s="130">
        <f t="shared" si="5"/>
        <v>9.9999999999999858</v>
      </c>
      <c r="R126" s="130">
        <f t="shared" si="5"/>
        <v>9.9999999999999858</v>
      </c>
      <c r="S126" s="130">
        <f t="shared" si="5"/>
        <v>10.000000000000028</v>
      </c>
    </row>
  </sheetData>
  <mergeCells count="15">
    <mergeCell ref="J2:P2"/>
    <mergeCell ref="T100:T102"/>
    <mergeCell ref="A1:S1"/>
    <mergeCell ref="C2:E2"/>
    <mergeCell ref="A3:A4"/>
    <mergeCell ref="B3:B4"/>
    <mergeCell ref="C3:E3"/>
    <mergeCell ref="F3:H3"/>
    <mergeCell ref="I3:I4"/>
    <mergeCell ref="J3:J4"/>
    <mergeCell ref="K3:M3"/>
    <mergeCell ref="N3:P3"/>
    <mergeCell ref="Q3:S3"/>
    <mergeCell ref="A5:H5"/>
    <mergeCell ref="I5:S5"/>
  </mergeCells>
  <pageMargins left="0.18740157480315001" right="0.19055118110236199" top="0.49055118110236201" bottom="0.19055118110236199" header="0.31496062992126" footer="0.31496062992126"/>
  <pageSetup paperSize="9" scale="90" firstPageNumber="26" orientation="portrait" useFirstPageNumber="1"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zoomScaleNormal="100" workbookViewId="0">
      <selection activeCell="A32" sqref="A32"/>
    </sheetView>
  </sheetViews>
  <sheetFormatPr defaultColWidth="9.140625" defaultRowHeight="16.5" x14ac:dyDescent="0.25"/>
  <cols>
    <col min="1" max="1" width="7.140625" style="145" customWidth="1"/>
    <col min="2" max="2" width="53.28515625" style="145" customWidth="1"/>
    <col min="3" max="3" width="9.5703125" style="145" hidden="1" customWidth="1"/>
    <col min="4" max="4" width="13.42578125" style="145" customWidth="1"/>
    <col min="5" max="5" width="2.85546875" style="145" hidden="1" customWidth="1"/>
    <col min="6" max="6" width="14.85546875" style="145" customWidth="1"/>
    <col min="7" max="7" width="2.42578125" style="145" hidden="1" customWidth="1"/>
    <col min="8" max="8" width="15.140625" style="145" customWidth="1"/>
    <col min="9" max="9" width="11" style="145" hidden="1" customWidth="1"/>
    <col min="10" max="16384" width="9.140625" style="145"/>
  </cols>
  <sheetData>
    <row r="1" spans="1:9" ht="33" customHeight="1" x14ac:dyDescent="0.3">
      <c r="A1" s="143" t="s">
        <v>1140</v>
      </c>
      <c r="B1" s="43"/>
      <c r="C1" s="144"/>
      <c r="F1" s="144"/>
      <c r="G1" s="144"/>
      <c r="H1" s="144"/>
    </row>
    <row r="2" spans="1:9" x14ac:dyDescent="0.25">
      <c r="A2" s="146"/>
      <c r="C2" s="255" t="s">
        <v>763</v>
      </c>
      <c r="D2" s="255"/>
      <c r="E2" s="255"/>
      <c r="F2" s="255"/>
      <c r="G2" s="255"/>
      <c r="H2" s="255"/>
    </row>
    <row r="3" spans="1:9" ht="30" customHeight="1" x14ac:dyDescent="0.25">
      <c r="A3" s="256" t="s">
        <v>0</v>
      </c>
      <c r="B3" s="256" t="s">
        <v>1</v>
      </c>
      <c r="C3" s="256" t="s">
        <v>942</v>
      </c>
      <c r="D3" s="256"/>
      <c r="E3" s="256"/>
      <c r="F3" s="256"/>
      <c r="G3" s="256"/>
      <c r="H3" s="256"/>
      <c r="I3" s="147" t="s">
        <v>2</v>
      </c>
    </row>
    <row r="4" spans="1:9" ht="18.75" hidden="1" customHeight="1" x14ac:dyDescent="0.25">
      <c r="A4" s="256"/>
      <c r="B4" s="256"/>
      <c r="C4" s="147"/>
      <c r="D4" s="147">
        <v>0.7</v>
      </c>
      <c r="E4" s="147"/>
      <c r="F4" s="147">
        <v>0.7</v>
      </c>
      <c r="G4" s="147"/>
      <c r="H4" s="147">
        <v>0.7</v>
      </c>
      <c r="I4" s="147"/>
    </row>
    <row r="5" spans="1:9" x14ac:dyDescent="0.25">
      <c r="A5" s="256"/>
      <c r="B5" s="256"/>
      <c r="C5" s="147" t="s">
        <v>4</v>
      </c>
      <c r="D5" s="147" t="s">
        <v>4</v>
      </c>
      <c r="E5" s="147" t="s">
        <v>3</v>
      </c>
      <c r="F5" s="147" t="s">
        <v>3</v>
      </c>
      <c r="G5" s="147" t="s">
        <v>5</v>
      </c>
      <c r="H5" s="147" t="s">
        <v>5</v>
      </c>
      <c r="I5" s="147" t="s">
        <v>4</v>
      </c>
    </row>
    <row r="6" spans="1:9" ht="30" customHeight="1" x14ac:dyDescent="0.25">
      <c r="A6" s="147" t="s">
        <v>7</v>
      </c>
      <c r="B6" s="69" t="s">
        <v>477</v>
      </c>
      <c r="C6" s="69"/>
      <c r="D6" s="69"/>
      <c r="E6" s="69"/>
      <c r="F6" s="69"/>
      <c r="G6" s="69"/>
      <c r="H6" s="69"/>
      <c r="I6" s="69"/>
    </row>
    <row r="7" spans="1:9" ht="30" customHeight="1" x14ac:dyDescent="0.25">
      <c r="A7" s="147"/>
      <c r="B7" s="69" t="s">
        <v>478</v>
      </c>
      <c r="C7" s="69"/>
      <c r="D7" s="69"/>
      <c r="E7" s="69"/>
      <c r="F7" s="69"/>
      <c r="G7" s="69"/>
      <c r="H7" s="69"/>
      <c r="I7" s="69"/>
    </row>
    <row r="8" spans="1:9" ht="46.5" customHeight="1" x14ac:dyDescent="0.25">
      <c r="A8" s="72">
        <v>1</v>
      </c>
      <c r="B8" s="148" t="s">
        <v>479</v>
      </c>
      <c r="C8" s="149">
        <v>3300.0000000000005</v>
      </c>
      <c r="D8" s="67">
        <f>C8*$D$4</f>
        <v>2310</v>
      </c>
      <c r="E8" s="149">
        <v>1430.0000000000002</v>
      </c>
      <c r="F8" s="67">
        <f>E8*$F$4</f>
        <v>1001.0000000000001</v>
      </c>
      <c r="G8" s="149">
        <v>880.00000000000011</v>
      </c>
      <c r="H8" s="67">
        <f>G8*$H$4</f>
        <v>616</v>
      </c>
      <c r="I8" s="149">
        <v>3300.0000000000005</v>
      </c>
    </row>
    <row r="9" spans="1:9" ht="29.25" customHeight="1" x14ac:dyDescent="0.25">
      <c r="A9" s="72">
        <v>2</v>
      </c>
      <c r="B9" s="148" t="s">
        <v>480</v>
      </c>
      <c r="C9" s="149">
        <v>2420</v>
      </c>
      <c r="D9" s="67">
        <f t="shared" ref="D9:D72" si="0">C9*$D$4</f>
        <v>1694</v>
      </c>
      <c r="E9" s="149">
        <v>1100</v>
      </c>
      <c r="F9" s="67">
        <f t="shared" ref="F9:F72" si="1">E9*$F$4</f>
        <v>770</v>
      </c>
      <c r="G9" s="149">
        <v>770.00000000000011</v>
      </c>
      <c r="H9" s="67">
        <f t="shared" ref="H9:H72" si="2">G9*$H$4</f>
        <v>539</v>
      </c>
      <c r="I9" s="149">
        <v>2420</v>
      </c>
    </row>
    <row r="10" spans="1:9" ht="29.25" customHeight="1" x14ac:dyDescent="0.25">
      <c r="A10" s="72">
        <v>3</v>
      </c>
      <c r="B10" s="148" t="s">
        <v>481</v>
      </c>
      <c r="C10" s="149">
        <v>1650.0000000000002</v>
      </c>
      <c r="D10" s="67">
        <f t="shared" si="0"/>
        <v>1155</v>
      </c>
      <c r="E10" s="149">
        <v>990.00000000000011</v>
      </c>
      <c r="F10" s="67">
        <f t="shared" si="1"/>
        <v>693</v>
      </c>
      <c r="G10" s="149">
        <v>495.00000000000006</v>
      </c>
      <c r="H10" s="67">
        <f t="shared" si="2"/>
        <v>346.5</v>
      </c>
      <c r="I10" s="149">
        <v>1650.0000000000002</v>
      </c>
    </row>
    <row r="11" spans="1:9" ht="39.75" customHeight="1" x14ac:dyDescent="0.25">
      <c r="A11" s="72">
        <v>4</v>
      </c>
      <c r="B11" s="148" t="s">
        <v>482</v>
      </c>
      <c r="C11" s="149">
        <v>1540.0000000000002</v>
      </c>
      <c r="D11" s="67">
        <f t="shared" si="0"/>
        <v>1078</v>
      </c>
      <c r="E11" s="149">
        <v>935.00000000000011</v>
      </c>
      <c r="F11" s="67">
        <f t="shared" si="1"/>
        <v>654.5</v>
      </c>
      <c r="G11" s="149">
        <v>462.00000000000006</v>
      </c>
      <c r="H11" s="67">
        <f t="shared" si="2"/>
        <v>323.40000000000003</v>
      </c>
      <c r="I11" s="149">
        <v>1540.0000000000002</v>
      </c>
    </row>
    <row r="12" spans="1:9" ht="43.5" customHeight="1" x14ac:dyDescent="0.25">
      <c r="A12" s="72">
        <v>5</v>
      </c>
      <c r="B12" s="148" t="s">
        <v>483</v>
      </c>
      <c r="C12" s="149">
        <v>1100</v>
      </c>
      <c r="D12" s="67">
        <f t="shared" si="0"/>
        <v>770</v>
      </c>
      <c r="E12" s="149">
        <v>935.00000000000011</v>
      </c>
      <c r="F12" s="67">
        <f t="shared" si="1"/>
        <v>654.5</v>
      </c>
      <c r="G12" s="149">
        <v>462.00000000000006</v>
      </c>
      <c r="H12" s="67">
        <f t="shared" si="2"/>
        <v>323.40000000000003</v>
      </c>
      <c r="I12" s="149">
        <v>1100</v>
      </c>
    </row>
    <row r="13" spans="1:9" ht="26.25" customHeight="1" x14ac:dyDescent="0.25">
      <c r="A13" s="72">
        <v>6</v>
      </c>
      <c r="B13" s="148" t="s">
        <v>484</v>
      </c>
      <c r="C13" s="149">
        <v>1540.0000000000002</v>
      </c>
      <c r="D13" s="67">
        <f t="shared" si="0"/>
        <v>1078</v>
      </c>
      <c r="E13" s="149">
        <v>935.00000000000011</v>
      </c>
      <c r="F13" s="67">
        <f t="shared" si="1"/>
        <v>654.5</v>
      </c>
      <c r="G13" s="149">
        <v>462.00000000000006</v>
      </c>
      <c r="H13" s="67">
        <f t="shared" si="2"/>
        <v>323.40000000000003</v>
      </c>
      <c r="I13" s="149">
        <v>1540.0000000000002</v>
      </c>
    </row>
    <row r="14" spans="1:9" ht="39.75" customHeight="1" x14ac:dyDescent="0.25">
      <c r="A14" s="72">
        <v>7</v>
      </c>
      <c r="B14" s="148" t="s">
        <v>485</v>
      </c>
      <c r="C14" s="149">
        <v>198.00000000000003</v>
      </c>
      <c r="D14" s="67">
        <f t="shared" si="0"/>
        <v>138.60000000000002</v>
      </c>
      <c r="E14" s="149">
        <v>132</v>
      </c>
      <c r="F14" s="67">
        <f t="shared" si="1"/>
        <v>92.399999999999991</v>
      </c>
      <c r="G14" s="149">
        <v>88</v>
      </c>
      <c r="H14" s="67">
        <f t="shared" si="2"/>
        <v>61.599999999999994</v>
      </c>
      <c r="I14" s="149">
        <v>198.00000000000003</v>
      </c>
    </row>
    <row r="15" spans="1:9" ht="35.25" customHeight="1" x14ac:dyDescent="0.25">
      <c r="A15" s="72">
        <v>8</v>
      </c>
      <c r="B15" s="148" t="s">
        <v>486</v>
      </c>
      <c r="C15" s="149">
        <v>275</v>
      </c>
      <c r="D15" s="67">
        <f t="shared" si="0"/>
        <v>192.5</v>
      </c>
      <c r="E15" s="149">
        <v>187.00000000000003</v>
      </c>
      <c r="F15" s="67">
        <f t="shared" si="1"/>
        <v>130.9</v>
      </c>
      <c r="G15" s="149">
        <v>110.00000000000001</v>
      </c>
      <c r="H15" s="67">
        <f t="shared" si="2"/>
        <v>77</v>
      </c>
      <c r="I15" s="149">
        <v>275</v>
      </c>
    </row>
    <row r="16" spans="1:9" ht="51" customHeight="1" x14ac:dyDescent="0.25">
      <c r="A16" s="72">
        <v>9</v>
      </c>
      <c r="B16" s="148" t="s">
        <v>487</v>
      </c>
      <c r="C16" s="149">
        <v>550</v>
      </c>
      <c r="D16" s="67">
        <f t="shared" si="0"/>
        <v>385</v>
      </c>
      <c r="E16" s="149">
        <v>330</v>
      </c>
      <c r="F16" s="67">
        <f t="shared" si="1"/>
        <v>230.99999999999997</v>
      </c>
      <c r="G16" s="149">
        <v>220.00000000000003</v>
      </c>
      <c r="H16" s="67">
        <f t="shared" si="2"/>
        <v>154</v>
      </c>
      <c r="I16" s="149">
        <v>550</v>
      </c>
    </row>
    <row r="17" spans="1:9" ht="33" customHeight="1" x14ac:dyDescent="0.25">
      <c r="A17" s="147" t="s">
        <v>17</v>
      </c>
      <c r="B17" s="69" t="s">
        <v>488</v>
      </c>
      <c r="C17" s="150"/>
      <c r="D17" s="67"/>
      <c r="E17" s="150"/>
      <c r="F17" s="67"/>
      <c r="G17" s="150"/>
      <c r="H17" s="67"/>
      <c r="I17" s="150"/>
    </row>
    <row r="18" spans="1:9" ht="54" customHeight="1" x14ac:dyDescent="0.25">
      <c r="A18" s="72">
        <v>1</v>
      </c>
      <c r="B18" s="71" t="s">
        <v>489</v>
      </c>
      <c r="C18" s="149">
        <v>1320</v>
      </c>
      <c r="D18" s="67">
        <f t="shared" si="0"/>
        <v>923.99999999999989</v>
      </c>
      <c r="E18" s="149">
        <v>935.00000000000011</v>
      </c>
      <c r="F18" s="67">
        <f t="shared" si="1"/>
        <v>654.5</v>
      </c>
      <c r="G18" s="149">
        <v>495.00000000000006</v>
      </c>
      <c r="H18" s="67">
        <f t="shared" si="2"/>
        <v>346.5</v>
      </c>
      <c r="I18" s="149">
        <v>1320</v>
      </c>
    </row>
    <row r="19" spans="1:9" ht="58.5" customHeight="1" x14ac:dyDescent="0.25">
      <c r="A19" s="72">
        <v>2</v>
      </c>
      <c r="B19" s="71" t="s">
        <v>490</v>
      </c>
      <c r="C19" s="149">
        <v>2530</v>
      </c>
      <c r="D19" s="67">
        <f t="shared" si="0"/>
        <v>1771</v>
      </c>
      <c r="E19" s="149">
        <v>1100</v>
      </c>
      <c r="F19" s="67">
        <f t="shared" si="1"/>
        <v>770</v>
      </c>
      <c r="G19" s="149">
        <v>495.00000000000006</v>
      </c>
      <c r="H19" s="67">
        <f t="shared" si="2"/>
        <v>346.5</v>
      </c>
      <c r="I19" s="149">
        <v>2530</v>
      </c>
    </row>
    <row r="20" spans="1:9" ht="50.25" customHeight="1" x14ac:dyDescent="0.25">
      <c r="A20" s="72">
        <v>3</v>
      </c>
      <c r="B20" s="148" t="s">
        <v>491</v>
      </c>
      <c r="C20" s="149">
        <v>2230</v>
      </c>
      <c r="D20" s="67">
        <f t="shared" si="0"/>
        <v>1561</v>
      </c>
      <c r="E20" s="149">
        <v>1592.8890000000001</v>
      </c>
      <c r="F20" s="67">
        <f t="shared" si="1"/>
        <v>1115.0223000000001</v>
      </c>
      <c r="G20" s="149">
        <v>716.72200000000009</v>
      </c>
      <c r="H20" s="67">
        <f t="shared" si="2"/>
        <v>501.70540000000005</v>
      </c>
      <c r="I20" s="149">
        <v>2230</v>
      </c>
    </row>
    <row r="21" spans="1:9" ht="52.5" customHeight="1" x14ac:dyDescent="0.25">
      <c r="A21" s="72">
        <v>4</v>
      </c>
      <c r="B21" s="148" t="s">
        <v>492</v>
      </c>
      <c r="C21" s="149">
        <v>2230</v>
      </c>
      <c r="D21" s="67">
        <f t="shared" si="0"/>
        <v>1561</v>
      </c>
      <c r="E21" s="149">
        <v>1592.8890000000001</v>
      </c>
      <c r="F21" s="67">
        <f t="shared" si="1"/>
        <v>1115.0223000000001</v>
      </c>
      <c r="G21" s="149">
        <v>716.78890000000001</v>
      </c>
      <c r="H21" s="67">
        <f t="shared" si="2"/>
        <v>501.75223</v>
      </c>
      <c r="I21" s="149">
        <v>2230</v>
      </c>
    </row>
    <row r="22" spans="1:9" ht="60" customHeight="1" x14ac:dyDescent="0.25">
      <c r="A22" s="72">
        <v>5</v>
      </c>
      <c r="B22" s="148" t="s">
        <v>493</v>
      </c>
      <c r="C22" s="149">
        <v>1367</v>
      </c>
      <c r="D22" s="67">
        <f t="shared" si="0"/>
        <v>956.9</v>
      </c>
      <c r="E22" s="149">
        <v>759.50519999999995</v>
      </c>
      <c r="F22" s="67">
        <f t="shared" si="1"/>
        <v>531.65363999999988</v>
      </c>
      <c r="G22" s="149"/>
      <c r="H22" s="67"/>
      <c r="I22" s="149">
        <v>1367</v>
      </c>
    </row>
    <row r="23" spans="1:9" ht="57" customHeight="1" x14ac:dyDescent="0.25">
      <c r="A23" s="72">
        <v>6</v>
      </c>
      <c r="B23" s="148" t="s">
        <v>494</v>
      </c>
      <c r="C23" s="149">
        <v>1367</v>
      </c>
      <c r="D23" s="67">
        <f t="shared" si="0"/>
        <v>956.9</v>
      </c>
      <c r="E23" s="149">
        <v>759.50519999999995</v>
      </c>
      <c r="F23" s="67">
        <f t="shared" si="1"/>
        <v>531.65363999999988</v>
      </c>
      <c r="G23" s="149">
        <v>455.62109999999996</v>
      </c>
      <c r="H23" s="67">
        <f t="shared" si="2"/>
        <v>318.93476999999996</v>
      </c>
      <c r="I23" s="149">
        <v>1367</v>
      </c>
    </row>
    <row r="24" spans="1:9" ht="33.75" customHeight="1" x14ac:dyDescent="0.25">
      <c r="A24" s="72">
        <v>7</v>
      </c>
      <c r="B24" s="148" t="s">
        <v>495</v>
      </c>
      <c r="C24" s="149">
        <v>198.00000000000003</v>
      </c>
      <c r="D24" s="67">
        <f t="shared" si="0"/>
        <v>138.60000000000002</v>
      </c>
      <c r="E24" s="149">
        <v>132</v>
      </c>
      <c r="F24" s="67">
        <f t="shared" si="1"/>
        <v>92.399999999999991</v>
      </c>
      <c r="G24" s="149">
        <v>99.000000000000014</v>
      </c>
      <c r="H24" s="67">
        <f t="shared" si="2"/>
        <v>69.300000000000011</v>
      </c>
      <c r="I24" s="149">
        <v>198.00000000000003</v>
      </c>
    </row>
    <row r="25" spans="1:9" ht="33.75" customHeight="1" x14ac:dyDescent="0.25">
      <c r="A25" s="72">
        <v>8</v>
      </c>
      <c r="B25" s="148" t="s">
        <v>486</v>
      </c>
      <c r="C25" s="149">
        <v>253.00000000000003</v>
      </c>
      <c r="D25" s="67">
        <f t="shared" si="0"/>
        <v>177.10000000000002</v>
      </c>
      <c r="E25" s="149">
        <v>176</v>
      </c>
      <c r="F25" s="67">
        <f t="shared" si="1"/>
        <v>123.19999999999999</v>
      </c>
      <c r="G25" s="149">
        <v>88</v>
      </c>
      <c r="H25" s="67">
        <f t="shared" si="2"/>
        <v>61.599999999999994</v>
      </c>
      <c r="I25" s="149">
        <v>253.00000000000003</v>
      </c>
    </row>
    <row r="26" spans="1:9" ht="33.75" customHeight="1" x14ac:dyDescent="0.25">
      <c r="A26" s="147" t="s">
        <v>28</v>
      </c>
      <c r="B26" s="69" t="s">
        <v>496</v>
      </c>
      <c r="C26" s="150"/>
      <c r="D26" s="67"/>
      <c r="E26" s="150"/>
      <c r="F26" s="67"/>
      <c r="G26" s="150"/>
      <c r="H26" s="67"/>
      <c r="I26" s="150"/>
    </row>
    <row r="27" spans="1:9" ht="33.75" customHeight="1" x14ac:dyDescent="0.25">
      <c r="A27" s="147"/>
      <c r="B27" s="69" t="s">
        <v>497</v>
      </c>
      <c r="C27" s="150"/>
      <c r="D27" s="67"/>
      <c r="E27" s="150"/>
      <c r="F27" s="67"/>
      <c r="G27" s="150"/>
      <c r="H27" s="67"/>
      <c r="I27" s="150"/>
    </row>
    <row r="28" spans="1:9" ht="60" customHeight="1" x14ac:dyDescent="0.25">
      <c r="A28" s="72">
        <v>1</v>
      </c>
      <c r="B28" s="71" t="s">
        <v>498</v>
      </c>
      <c r="C28" s="149">
        <v>7414</v>
      </c>
      <c r="D28" s="67">
        <f t="shared" si="0"/>
        <v>5189.7999999999993</v>
      </c>
      <c r="E28" s="149">
        <v>3336.3</v>
      </c>
      <c r="F28" s="67">
        <f t="shared" si="1"/>
        <v>2335.41</v>
      </c>
      <c r="G28" s="149">
        <v>2038.8500000000001</v>
      </c>
      <c r="H28" s="67">
        <f t="shared" si="2"/>
        <v>1427.1949999999999</v>
      </c>
      <c r="I28" s="149">
        <v>7414</v>
      </c>
    </row>
    <row r="29" spans="1:9" ht="42" customHeight="1" x14ac:dyDescent="0.25">
      <c r="A29" s="72">
        <v>2</v>
      </c>
      <c r="B29" s="148" t="s">
        <v>499</v>
      </c>
      <c r="C29" s="149">
        <v>6281</v>
      </c>
      <c r="D29" s="67">
        <f t="shared" si="0"/>
        <v>4396.7</v>
      </c>
      <c r="E29" s="149">
        <v>2810.1194</v>
      </c>
      <c r="F29" s="67">
        <f t="shared" si="1"/>
        <v>1967.08358</v>
      </c>
      <c r="G29" s="149">
        <v>1653.1591999999998</v>
      </c>
      <c r="H29" s="67">
        <f t="shared" si="2"/>
        <v>1157.2114399999998</v>
      </c>
      <c r="I29" s="149">
        <v>6281</v>
      </c>
    </row>
    <row r="30" spans="1:9" ht="51.75" customHeight="1" x14ac:dyDescent="0.25">
      <c r="A30" s="72">
        <v>3</v>
      </c>
      <c r="B30" s="148" t="s">
        <v>500</v>
      </c>
      <c r="C30" s="149">
        <v>2750</v>
      </c>
      <c r="D30" s="67">
        <f t="shared" si="0"/>
        <v>1924.9999999999998</v>
      </c>
      <c r="E30" s="149">
        <v>1320</v>
      </c>
      <c r="F30" s="67">
        <f t="shared" si="1"/>
        <v>923.99999999999989</v>
      </c>
      <c r="G30" s="149">
        <v>550</v>
      </c>
      <c r="H30" s="67">
        <f t="shared" si="2"/>
        <v>385</v>
      </c>
      <c r="I30" s="149">
        <v>2750</v>
      </c>
    </row>
    <row r="31" spans="1:9" ht="58.5" customHeight="1" x14ac:dyDescent="0.25">
      <c r="A31" s="72">
        <v>4</v>
      </c>
      <c r="B31" s="148" t="s">
        <v>501</v>
      </c>
      <c r="C31" s="149">
        <v>2523</v>
      </c>
      <c r="D31" s="67">
        <f t="shared" si="0"/>
        <v>1766.1</v>
      </c>
      <c r="E31" s="149">
        <v>1261.5</v>
      </c>
      <c r="F31" s="67">
        <f t="shared" si="1"/>
        <v>883.05</v>
      </c>
      <c r="G31" s="149">
        <v>504.6</v>
      </c>
      <c r="H31" s="67">
        <f t="shared" si="2"/>
        <v>353.21999999999997</v>
      </c>
      <c r="I31" s="149">
        <v>2523</v>
      </c>
    </row>
    <row r="32" spans="1:9" ht="57.75" customHeight="1" x14ac:dyDescent="0.25">
      <c r="A32" s="72">
        <v>5</v>
      </c>
      <c r="B32" s="71" t="s">
        <v>502</v>
      </c>
      <c r="C32" s="149">
        <v>1980.0000000000002</v>
      </c>
      <c r="D32" s="67">
        <f t="shared" si="0"/>
        <v>1386</v>
      </c>
      <c r="E32" s="149">
        <v>1100</v>
      </c>
      <c r="F32" s="67">
        <f t="shared" si="1"/>
        <v>770</v>
      </c>
      <c r="G32" s="149">
        <v>770.00000000000011</v>
      </c>
      <c r="H32" s="67">
        <f t="shared" si="2"/>
        <v>539</v>
      </c>
      <c r="I32" s="149">
        <v>1980.0000000000002</v>
      </c>
    </row>
    <row r="33" spans="1:9" ht="47.25" customHeight="1" x14ac:dyDescent="0.25">
      <c r="A33" s="72">
        <v>6</v>
      </c>
      <c r="B33" s="148" t="s">
        <v>503</v>
      </c>
      <c r="C33" s="149">
        <v>198.00000000000003</v>
      </c>
      <c r="D33" s="67">
        <f t="shared" si="0"/>
        <v>138.60000000000002</v>
      </c>
      <c r="E33" s="149">
        <v>132</v>
      </c>
      <c r="F33" s="67">
        <f t="shared" si="1"/>
        <v>92.399999999999991</v>
      </c>
      <c r="G33" s="149">
        <v>88</v>
      </c>
      <c r="H33" s="67">
        <f t="shared" si="2"/>
        <v>61.599999999999994</v>
      </c>
      <c r="I33" s="149">
        <v>198.00000000000003</v>
      </c>
    </row>
    <row r="34" spans="1:9" ht="31.5" customHeight="1" x14ac:dyDescent="0.25">
      <c r="A34" s="72">
        <v>7</v>
      </c>
      <c r="B34" s="148" t="s">
        <v>504</v>
      </c>
      <c r="C34" s="149">
        <v>132</v>
      </c>
      <c r="D34" s="67">
        <f t="shared" si="0"/>
        <v>92.399999999999991</v>
      </c>
      <c r="E34" s="149">
        <v>88</v>
      </c>
      <c r="F34" s="67">
        <f t="shared" si="1"/>
        <v>61.599999999999994</v>
      </c>
      <c r="G34" s="149">
        <v>77</v>
      </c>
      <c r="H34" s="67">
        <f t="shared" si="2"/>
        <v>53.9</v>
      </c>
      <c r="I34" s="149">
        <v>132</v>
      </c>
    </row>
    <row r="35" spans="1:9" ht="31.5" customHeight="1" x14ac:dyDescent="0.25">
      <c r="A35" s="72">
        <v>8</v>
      </c>
      <c r="B35" s="148" t="s">
        <v>486</v>
      </c>
      <c r="C35" s="149">
        <v>308</v>
      </c>
      <c r="D35" s="67">
        <f t="shared" si="0"/>
        <v>215.6</v>
      </c>
      <c r="E35" s="149">
        <v>198.00000000000003</v>
      </c>
      <c r="F35" s="67">
        <f t="shared" si="1"/>
        <v>138.60000000000002</v>
      </c>
      <c r="G35" s="149">
        <v>110.00000000000001</v>
      </c>
      <c r="H35" s="67">
        <f t="shared" si="2"/>
        <v>77</v>
      </c>
      <c r="I35" s="149">
        <v>308</v>
      </c>
    </row>
    <row r="36" spans="1:9" ht="31.5" customHeight="1" x14ac:dyDescent="0.25">
      <c r="A36" s="147" t="s">
        <v>34</v>
      </c>
      <c r="B36" s="69" t="s">
        <v>505</v>
      </c>
      <c r="C36" s="150"/>
      <c r="D36" s="67"/>
      <c r="E36" s="150"/>
      <c r="F36" s="67"/>
      <c r="G36" s="150"/>
      <c r="H36" s="67"/>
      <c r="I36" s="150"/>
    </row>
    <row r="37" spans="1:9" ht="63" customHeight="1" x14ac:dyDescent="0.25">
      <c r="A37" s="72">
        <v>1</v>
      </c>
      <c r="B37" s="148" t="s">
        <v>506</v>
      </c>
      <c r="C37" s="149">
        <v>1650.0000000000002</v>
      </c>
      <c r="D37" s="67">
        <f t="shared" si="0"/>
        <v>1155</v>
      </c>
      <c r="E37" s="149">
        <v>660</v>
      </c>
      <c r="F37" s="67">
        <f t="shared" si="1"/>
        <v>461.99999999999994</v>
      </c>
      <c r="G37" s="149">
        <v>330</v>
      </c>
      <c r="H37" s="67">
        <f t="shared" si="2"/>
        <v>230.99999999999997</v>
      </c>
      <c r="I37" s="149">
        <v>1650.0000000000002</v>
      </c>
    </row>
    <row r="38" spans="1:9" ht="37.5" customHeight="1" x14ac:dyDescent="0.25">
      <c r="A38" s="72">
        <v>2</v>
      </c>
      <c r="B38" s="148" t="s">
        <v>507</v>
      </c>
      <c r="C38" s="149">
        <v>715.00000000000011</v>
      </c>
      <c r="D38" s="67">
        <f t="shared" si="0"/>
        <v>500.50000000000006</v>
      </c>
      <c r="E38" s="149">
        <v>297</v>
      </c>
      <c r="F38" s="67">
        <f t="shared" si="1"/>
        <v>207.89999999999998</v>
      </c>
      <c r="G38" s="149">
        <v>176</v>
      </c>
      <c r="H38" s="67">
        <f t="shared" si="2"/>
        <v>123.19999999999999</v>
      </c>
      <c r="I38" s="149">
        <v>715.00000000000011</v>
      </c>
    </row>
    <row r="39" spans="1:9" ht="47.25" customHeight="1" x14ac:dyDescent="0.25">
      <c r="A39" s="72">
        <v>3</v>
      </c>
      <c r="B39" s="148" t="s">
        <v>508</v>
      </c>
      <c r="C39" s="149">
        <v>715.00000000000011</v>
      </c>
      <c r="D39" s="67">
        <f t="shared" si="0"/>
        <v>500.50000000000006</v>
      </c>
      <c r="E39" s="149">
        <v>297</v>
      </c>
      <c r="F39" s="67">
        <f t="shared" si="1"/>
        <v>207.89999999999998</v>
      </c>
      <c r="G39" s="149">
        <v>176</v>
      </c>
      <c r="H39" s="67">
        <f t="shared" si="2"/>
        <v>123.19999999999999</v>
      </c>
      <c r="I39" s="149">
        <v>715.00000000000011</v>
      </c>
    </row>
    <row r="40" spans="1:9" ht="54.75" customHeight="1" x14ac:dyDescent="0.25">
      <c r="A40" s="72">
        <v>4</v>
      </c>
      <c r="B40" s="148" t="s">
        <v>509</v>
      </c>
      <c r="C40" s="149">
        <v>1100</v>
      </c>
      <c r="D40" s="67">
        <f t="shared" si="0"/>
        <v>770</v>
      </c>
      <c r="E40" s="149">
        <v>456.94</v>
      </c>
      <c r="F40" s="67">
        <f t="shared" si="1"/>
        <v>319.858</v>
      </c>
      <c r="G40" s="149">
        <v>270.82</v>
      </c>
      <c r="H40" s="67">
        <f t="shared" si="2"/>
        <v>189.57399999999998</v>
      </c>
      <c r="I40" s="149">
        <v>1100</v>
      </c>
    </row>
    <row r="41" spans="1:9" ht="33.75" customHeight="1" x14ac:dyDescent="0.25">
      <c r="A41" s="72">
        <v>5</v>
      </c>
      <c r="B41" s="148" t="s">
        <v>510</v>
      </c>
      <c r="C41" s="149">
        <v>121.00000000000001</v>
      </c>
      <c r="D41" s="67">
        <f t="shared" si="0"/>
        <v>84.7</v>
      </c>
      <c r="E41" s="149">
        <v>88</v>
      </c>
      <c r="F41" s="67">
        <f t="shared" si="1"/>
        <v>61.599999999999994</v>
      </c>
      <c r="G41" s="149">
        <v>77</v>
      </c>
      <c r="H41" s="67">
        <f t="shared" si="2"/>
        <v>53.9</v>
      </c>
      <c r="I41" s="149">
        <v>121.00000000000001</v>
      </c>
    </row>
    <row r="42" spans="1:9" ht="33.75" customHeight="1" x14ac:dyDescent="0.25">
      <c r="A42" s="72">
        <v>6</v>
      </c>
      <c r="B42" s="148" t="s">
        <v>486</v>
      </c>
      <c r="C42" s="149">
        <v>220.00000000000003</v>
      </c>
      <c r="D42" s="67">
        <f t="shared" si="0"/>
        <v>154</v>
      </c>
      <c r="E42" s="149">
        <v>121.00000000000001</v>
      </c>
      <c r="F42" s="67">
        <f t="shared" si="1"/>
        <v>84.7</v>
      </c>
      <c r="G42" s="149">
        <v>88</v>
      </c>
      <c r="H42" s="67">
        <f t="shared" si="2"/>
        <v>61.599999999999994</v>
      </c>
      <c r="I42" s="149">
        <v>220.00000000000003</v>
      </c>
    </row>
    <row r="43" spans="1:9" ht="33.75" customHeight="1" x14ac:dyDescent="0.25">
      <c r="A43" s="147" t="s">
        <v>42</v>
      </c>
      <c r="B43" s="151" t="s">
        <v>511</v>
      </c>
      <c r="C43" s="150"/>
      <c r="D43" s="67"/>
      <c r="E43" s="150"/>
      <c r="F43" s="67"/>
      <c r="G43" s="150"/>
      <c r="H43" s="67"/>
      <c r="I43" s="150"/>
    </row>
    <row r="44" spans="1:9" ht="39" customHeight="1" x14ac:dyDescent="0.25">
      <c r="A44" s="72">
        <v>1</v>
      </c>
      <c r="B44" s="148" t="s">
        <v>971</v>
      </c>
      <c r="C44" s="149">
        <v>385.00000000000006</v>
      </c>
      <c r="D44" s="67">
        <f t="shared" si="0"/>
        <v>269.5</v>
      </c>
      <c r="E44" s="149">
        <v>253.00000000000003</v>
      </c>
      <c r="F44" s="67">
        <f t="shared" si="1"/>
        <v>177.10000000000002</v>
      </c>
      <c r="G44" s="149">
        <v>165</v>
      </c>
      <c r="H44" s="67">
        <f t="shared" si="2"/>
        <v>115.49999999999999</v>
      </c>
      <c r="I44" s="149">
        <v>385.00000000000006</v>
      </c>
    </row>
    <row r="45" spans="1:9" ht="34.5" customHeight="1" x14ac:dyDescent="0.25">
      <c r="A45" s="72">
        <v>2</v>
      </c>
      <c r="B45" s="148" t="s">
        <v>512</v>
      </c>
      <c r="C45" s="149">
        <v>220.00000000000003</v>
      </c>
      <c r="D45" s="67">
        <f t="shared" si="0"/>
        <v>154</v>
      </c>
      <c r="E45" s="149">
        <v>110.00000000000001</v>
      </c>
      <c r="F45" s="67">
        <f t="shared" si="1"/>
        <v>77</v>
      </c>
      <c r="G45" s="149">
        <v>88</v>
      </c>
      <c r="H45" s="67">
        <f t="shared" si="2"/>
        <v>61.599999999999994</v>
      </c>
      <c r="I45" s="149">
        <v>220.00000000000003</v>
      </c>
    </row>
    <row r="46" spans="1:9" ht="33" customHeight="1" x14ac:dyDescent="0.25">
      <c r="A46" s="72">
        <v>3</v>
      </c>
      <c r="B46" s="148" t="s">
        <v>486</v>
      </c>
      <c r="C46" s="149">
        <v>121.00000000000001</v>
      </c>
      <c r="D46" s="67">
        <f t="shared" si="0"/>
        <v>84.7</v>
      </c>
      <c r="E46" s="149">
        <v>88</v>
      </c>
      <c r="F46" s="67">
        <f t="shared" si="1"/>
        <v>61.599999999999994</v>
      </c>
      <c r="G46" s="149">
        <v>77</v>
      </c>
      <c r="H46" s="67">
        <f t="shared" si="2"/>
        <v>53.9</v>
      </c>
      <c r="I46" s="149">
        <v>121.00000000000001</v>
      </c>
    </row>
    <row r="47" spans="1:9" ht="33" customHeight="1" x14ac:dyDescent="0.25">
      <c r="A47" s="147" t="s">
        <v>250</v>
      </c>
      <c r="B47" s="69" t="s">
        <v>513</v>
      </c>
      <c r="C47" s="150"/>
      <c r="D47" s="67"/>
      <c r="E47" s="150"/>
      <c r="F47" s="67"/>
      <c r="G47" s="150"/>
      <c r="H47" s="67"/>
      <c r="I47" s="150"/>
    </row>
    <row r="48" spans="1:9" ht="33" customHeight="1" x14ac:dyDescent="0.25">
      <c r="A48" s="72">
        <v>1</v>
      </c>
      <c r="B48" s="148" t="s">
        <v>972</v>
      </c>
      <c r="C48" s="149">
        <v>528</v>
      </c>
      <c r="D48" s="67">
        <f t="shared" si="0"/>
        <v>369.59999999999997</v>
      </c>
      <c r="E48" s="149">
        <v>253.00000000000003</v>
      </c>
      <c r="F48" s="67">
        <f t="shared" si="1"/>
        <v>177.10000000000002</v>
      </c>
      <c r="G48" s="149">
        <v>165</v>
      </c>
      <c r="H48" s="67">
        <f t="shared" si="2"/>
        <v>115.49999999999999</v>
      </c>
      <c r="I48" s="149">
        <v>528</v>
      </c>
    </row>
    <row r="49" spans="1:9" ht="33" customHeight="1" x14ac:dyDescent="0.25">
      <c r="A49" s="72">
        <v>2</v>
      </c>
      <c r="B49" s="148" t="s">
        <v>514</v>
      </c>
      <c r="C49" s="149">
        <v>132</v>
      </c>
      <c r="D49" s="67">
        <f t="shared" si="0"/>
        <v>92.399999999999991</v>
      </c>
      <c r="E49" s="149">
        <v>88</v>
      </c>
      <c r="F49" s="67">
        <f t="shared" si="1"/>
        <v>61.599999999999994</v>
      </c>
      <c r="G49" s="149">
        <v>77</v>
      </c>
      <c r="H49" s="67">
        <f t="shared" si="2"/>
        <v>53.9</v>
      </c>
      <c r="I49" s="149">
        <v>132</v>
      </c>
    </row>
    <row r="50" spans="1:9" ht="33" customHeight="1" x14ac:dyDescent="0.25">
      <c r="A50" s="72">
        <v>3</v>
      </c>
      <c r="B50" s="148" t="s">
        <v>486</v>
      </c>
      <c r="C50" s="149">
        <v>165</v>
      </c>
      <c r="D50" s="67">
        <f t="shared" si="0"/>
        <v>115.49999999999999</v>
      </c>
      <c r="E50" s="149">
        <v>110.00000000000001</v>
      </c>
      <c r="F50" s="67">
        <f t="shared" si="1"/>
        <v>77</v>
      </c>
      <c r="G50" s="149">
        <v>77</v>
      </c>
      <c r="H50" s="67">
        <f t="shared" si="2"/>
        <v>53.9</v>
      </c>
      <c r="I50" s="149">
        <v>165</v>
      </c>
    </row>
    <row r="51" spans="1:9" ht="33" customHeight="1" x14ac:dyDescent="0.25">
      <c r="A51" s="147" t="s">
        <v>251</v>
      </c>
      <c r="B51" s="69" t="s">
        <v>515</v>
      </c>
      <c r="C51" s="150"/>
      <c r="D51" s="67"/>
      <c r="E51" s="150"/>
      <c r="F51" s="67"/>
      <c r="G51" s="150"/>
      <c r="H51" s="67"/>
      <c r="I51" s="150"/>
    </row>
    <row r="52" spans="1:9" ht="58.5" customHeight="1" x14ac:dyDescent="0.25">
      <c r="A52" s="72">
        <v>1</v>
      </c>
      <c r="B52" s="148" t="s">
        <v>516</v>
      </c>
      <c r="C52" s="149">
        <v>1650.0000000000002</v>
      </c>
      <c r="D52" s="67">
        <f t="shared" si="0"/>
        <v>1155</v>
      </c>
      <c r="E52" s="149">
        <v>385.00000000000006</v>
      </c>
      <c r="F52" s="67">
        <f t="shared" si="1"/>
        <v>269.5</v>
      </c>
      <c r="G52" s="149">
        <v>286</v>
      </c>
      <c r="H52" s="67">
        <f t="shared" si="2"/>
        <v>200.2</v>
      </c>
      <c r="I52" s="149">
        <v>1650.0000000000002</v>
      </c>
    </row>
    <row r="53" spans="1:9" ht="51.75" customHeight="1" x14ac:dyDescent="0.25">
      <c r="A53" s="72">
        <v>2</v>
      </c>
      <c r="B53" s="148" t="s">
        <v>517</v>
      </c>
      <c r="C53" s="149">
        <v>880.00000000000011</v>
      </c>
      <c r="D53" s="67">
        <f t="shared" si="0"/>
        <v>616</v>
      </c>
      <c r="E53" s="149">
        <v>275</v>
      </c>
      <c r="F53" s="67">
        <f t="shared" si="1"/>
        <v>192.5</v>
      </c>
      <c r="G53" s="149">
        <v>165</v>
      </c>
      <c r="H53" s="67">
        <f t="shared" si="2"/>
        <v>115.49999999999999</v>
      </c>
      <c r="I53" s="149">
        <v>880.00000000000011</v>
      </c>
    </row>
    <row r="54" spans="1:9" ht="48" customHeight="1" x14ac:dyDescent="0.25">
      <c r="A54" s="72">
        <v>3</v>
      </c>
      <c r="B54" s="148" t="s">
        <v>518</v>
      </c>
      <c r="C54" s="149">
        <v>660</v>
      </c>
      <c r="D54" s="67">
        <f t="shared" si="0"/>
        <v>461.99999999999994</v>
      </c>
      <c r="E54" s="149">
        <v>275</v>
      </c>
      <c r="F54" s="67">
        <f t="shared" si="1"/>
        <v>192.5</v>
      </c>
      <c r="G54" s="149">
        <v>165</v>
      </c>
      <c r="H54" s="67">
        <f t="shared" si="2"/>
        <v>115.49999999999999</v>
      </c>
      <c r="I54" s="149">
        <v>660</v>
      </c>
    </row>
    <row r="55" spans="1:9" ht="33" customHeight="1" x14ac:dyDescent="0.25">
      <c r="A55" s="72">
        <v>4</v>
      </c>
      <c r="B55" s="148" t="s">
        <v>519</v>
      </c>
      <c r="C55" s="149">
        <v>550</v>
      </c>
      <c r="D55" s="67">
        <f t="shared" si="0"/>
        <v>385</v>
      </c>
      <c r="E55" s="149">
        <v>275</v>
      </c>
      <c r="F55" s="67">
        <f t="shared" si="1"/>
        <v>192.5</v>
      </c>
      <c r="G55" s="149">
        <v>165</v>
      </c>
      <c r="H55" s="67">
        <f t="shared" si="2"/>
        <v>115.49999999999999</v>
      </c>
      <c r="I55" s="149">
        <v>550</v>
      </c>
    </row>
    <row r="56" spans="1:9" ht="32.25" customHeight="1" x14ac:dyDescent="0.25">
      <c r="A56" s="72">
        <v>5</v>
      </c>
      <c r="B56" s="148" t="s">
        <v>520</v>
      </c>
      <c r="C56" s="149">
        <v>121.00000000000001</v>
      </c>
      <c r="D56" s="67">
        <f t="shared" si="0"/>
        <v>84.7</v>
      </c>
      <c r="E56" s="149">
        <v>88</v>
      </c>
      <c r="F56" s="67">
        <f t="shared" si="1"/>
        <v>61.599999999999994</v>
      </c>
      <c r="G56" s="149">
        <v>77</v>
      </c>
      <c r="H56" s="67">
        <f t="shared" si="2"/>
        <v>53.9</v>
      </c>
      <c r="I56" s="149">
        <v>121.00000000000001</v>
      </c>
    </row>
    <row r="57" spans="1:9" ht="33" customHeight="1" x14ac:dyDescent="0.25">
      <c r="A57" s="72">
        <v>6</v>
      </c>
      <c r="B57" s="148" t="s">
        <v>486</v>
      </c>
      <c r="C57" s="149">
        <v>220.00000000000003</v>
      </c>
      <c r="D57" s="67">
        <f t="shared" si="0"/>
        <v>154</v>
      </c>
      <c r="E57" s="149">
        <v>110.00000000000001</v>
      </c>
      <c r="F57" s="67">
        <f t="shared" si="1"/>
        <v>77</v>
      </c>
      <c r="G57" s="149">
        <v>88</v>
      </c>
      <c r="H57" s="67">
        <f t="shared" si="2"/>
        <v>61.599999999999994</v>
      </c>
      <c r="I57" s="149">
        <v>220.00000000000003</v>
      </c>
    </row>
    <row r="58" spans="1:9" ht="33" customHeight="1" x14ac:dyDescent="0.25">
      <c r="A58" s="147" t="s">
        <v>315</v>
      </c>
      <c r="B58" s="69" t="s">
        <v>521</v>
      </c>
      <c r="C58" s="150"/>
      <c r="D58" s="67"/>
      <c r="E58" s="150"/>
      <c r="F58" s="67"/>
      <c r="G58" s="150"/>
      <c r="H58" s="67"/>
      <c r="I58" s="150"/>
    </row>
    <row r="59" spans="1:9" ht="51" customHeight="1" x14ac:dyDescent="0.25">
      <c r="A59" s="72">
        <v>1</v>
      </c>
      <c r="B59" s="148" t="s">
        <v>522</v>
      </c>
      <c r="C59" s="149">
        <v>2170</v>
      </c>
      <c r="D59" s="67">
        <f t="shared" si="0"/>
        <v>1519</v>
      </c>
      <c r="E59" s="149">
        <v>930.06200000000001</v>
      </c>
      <c r="F59" s="67">
        <f t="shared" si="1"/>
        <v>651.04340000000002</v>
      </c>
      <c r="G59" s="149">
        <v>387.56199999999995</v>
      </c>
      <c r="H59" s="67">
        <f t="shared" si="2"/>
        <v>271.29339999999996</v>
      </c>
      <c r="I59" s="149">
        <v>2170</v>
      </c>
    </row>
    <row r="60" spans="1:9" ht="54.75" customHeight="1" x14ac:dyDescent="0.25">
      <c r="A60" s="72">
        <v>2</v>
      </c>
      <c r="B60" s="148" t="s">
        <v>523</v>
      </c>
      <c r="C60" s="149">
        <v>1657</v>
      </c>
      <c r="D60" s="67">
        <f t="shared" si="0"/>
        <v>1159.8999999999999</v>
      </c>
      <c r="E60" s="149">
        <v>994.19999999999993</v>
      </c>
      <c r="F60" s="67">
        <f t="shared" si="1"/>
        <v>695.93999999999994</v>
      </c>
      <c r="G60" s="149">
        <v>414.25</v>
      </c>
      <c r="H60" s="67">
        <f t="shared" si="2"/>
        <v>289.97499999999997</v>
      </c>
      <c r="I60" s="149">
        <v>1657</v>
      </c>
    </row>
    <row r="61" spans="1:9" ht="51" customHeight="1" x14ac:dyDescent="0.25">
      <c r="A61" s="72">
        <v>3</v>
      </c>
      <c r="B61" s="148" t="s">
        <v>524</v>
      </c>
      <c r="C61" s="149">
        <v>220.00000000000003</v>
      </c>
      <c r="D61" s="67">
        <f t="shared" si="0"/>
        <v>154</v>
      </c>
      <c r="E61" s="149">
        <v>187.00000000000003</v>
      </c>
      <c r="F61" s="67">
        <f t="shared" si="1"/>
        <v>130.9</v>
      </c>
      <c r="G61" s="149">
        <v>110.00000000000001</v>
      </c>
      <c r="H61" s="67">
        <f t="shared" si="2"/>
        <v>77</v>
      </c>
      <c r="I61" s="149">
        <v>220.00000000000003</v>
      </c>
    </row>
    <row r="62" spans="1:9" ht="37.5" customHeight="1" x14ac:dyDescent="0.25">
      <c r="A62" s="72">
        <v>4</v>
      </c>
      <c r="B62" s="148" t="s">
        <v>525</v>
      </c>
      <c r="C62" s="149">
        <v>308</v>
      </c>
      <c r="D62" s="67">
        <f t="shared" si="0"/>
        <v>215.6</v>
      </c>
      <c r="E62" s="149">
        <v>198.00000000000003</v>
      </c>
      <c r="F62" s="67">
        <f t="shared" si="1"/>
        <v>138.60000000000002</v>
      </c>
      <c r="G62" s="149">
        <v>99.000000000000014</v>
      </c>
      <c r="H62" s="67">
        <f t="shared" si="2"/>
        <v>69.300000000000011</v>
      </c>
      <c r="I62" s="149">
        <v>308</v>
      </c>
    </row>
    <row r="63" spans="1:9" ht="37.5" customHeight="1" x14ac:dyDescent="0.25">
      <c r="A63" s="147" t="s">
        <v>321</v>
      </c>
      <c r="B63" s="69" t="s">
        <v>526</v>
      </c>
      <c r="C63" s="150"/>
      <c r="D63" s="67"/>
      <c r="E63" s="150"/>
      <c r="F63" s="67"/>
      <c r="G63" s="150"/>
      <c r="H63" s="67"/>
      <c r="I63" s="150"/>
    </row>
    <row r="64" spans="1:9" ht="54.75" customHeight="1" x14ac:dyDescent="0.25">
      <c r="A64" s="72">
        <v>1</v>
      </c>
      <c r="B64" s="148" t="s">
        <v>527</v>
      </c>
      <c r="C64" s="149">
        <v>1650.0000000000002</v>
      </c>
      <c r="D64" s="67">
        <f t="shared" si="0"/>
        <v>1155</v>
      </c>
      <c r="E64" s="149">
        <v>660</v>
      </c>
      <c r="F64" s="67">
        <f t="shared" si="1"/>
        <v>461.99999999999994</v>
      </c>
      <c r="G64" s="149">
        <v>275</v>
      </c>
      <c r="H64" s="67">
        <f t="shared" si="2"/>
        <v>192.5</v>
      </c>
      <c r="I64" s="149">
        <v>1650.0000000000002</v>
      </c>
    </row>
    <row r="65" spans="1:9" ht="33" customHeight="1" x14ac:dyDescent="0.25">
      <c r="A65" s="72">
        <v>2</v>
      </c>
      <c r="B65" s="148" t="s">
        <v>528</v>
      </c>
      <c r="C65" s="149">
        <v>132</v>
      </c>
      <c r="D65" s="67">
        <f t="shared" si="0"/>
        <v>92.399999999999991</v>
      </c>
      <c r="E65" s="149">
        <v>99.000000000000014</v>
      </c>
      <c r="F65" s="67">
        <f t="shared" si="1"/>
        <v>69.300000000000011</v>
      </c>
      <c r="G65" s="149">
        <v>77</v>
      </c>
      <c r="H65" s="67">
        <f t="shared" si="2"/>
        <v>53.9</v>
      </c>
      <c r="I65" s="149">
        <v>132</v>
      </c>
    </row>
    <row r="66" spans="1:9" ht="33" customHeight="1" x14ac:dyDescent="0.25">
      <c r="A66" s="72">
        <v>3</v>
      </c>
      <c r="B66" s="148" t="s">
        <v>486</v>
      </c>
      <c r="C66" s="149">
        <v>308</v>
      </c>
      <c r="D66" s="67">
        <f t="shared" si="0"/>
        <v>215.6</v>
      </c>
      <c r="E66" s="149">
        <v>165</v>
      </c>
      <c r="F66" s="67">
        <f t="shared" si="1"/>
        <v>115.49999999999999</v>
      </c>
      <c r="G66" s="149">
        <v>99.000000000000014</v>
      </c>
      <c r="H66" s="67">
        <f t="shared" si="2"/>
        <v>69.300000000000011</v>
      </c>
      <c r="I66" s="149">
        <v>308</v>
      </c>
    </row>
    <row r="67" spans="1:9" ht="33" customHeight="1" x14ac:dyDescent="0.25">
      <c r="A67" s="147" t="s">
        <v>325</v>
      </c>
      <c r="B67" s="151" t="s">
        <v>529</v>
      </c>
      <c r="C67" s="150"/>
      <c r="D67" s="67"/>
      <c r="E67" s="150"/>
      <c r="F67" s="67"/>
      <c r="G67" s="150"/>
      <c r="H67" s="67"/>
      <c r="I67" s="150"/>
    </row>
    <row r="68" spans="1:9" ht="74.25" customHeight="1" x14ac:dyDescent="0.25">
      <c r="A68" s="72">
        <v>1</v>
      </c>
      <c r="B68" s="148" t="s">
        <v>530</v>
      </c>
      <c r="C68" s="149">
        <v>550</v>
      </c>
      <c r="D68" s="67">
        <f t="shared" si="0"/>
        <v>385</v>
      </c>
      <c r="E68" s="149">
        <v>253.00000000000003</v>
      </c>
      <c r="F68" s="67">
        <f t="shared" si="1"/>
        <v>177.10000000000002</v>
      </c>
      <c r="G68" s="149">
        <v>132</v>
      </c>
      <c r="H68" s="67">
        <f t="shared" si="2"/>
        <v>92.399999999999991</v>
      </c>
      <c r="I68" s="149">
        <v>550</v>
      </c>
    </row>
    <row r="69" spans="1:9" ht="35.25" customHeight="1" x14ac:dyDescent="0.25">
      <c r="A69" s="72">
        <v>2</v>
      </c>
      <c r="B69" s="148" t="s">
        <v>531</v>
      </c>
      <c r="C69" s="149">
        <v>165</v>
      </c>
      <c r="D69" s="67">
        <f t="shared" si="0"/>
        <v>115.49999999999999</v>
      </c>
      <c r="E69" s="149">
        <v>99.000000000000014</v>
      </c>
      <c r="F69" s="67">
        <f t="shared" si="1"/>
        <v>69.300000000000011</v>
      </c>
      <c r="G69" s="149">
        <v>77</v>
      </c>
      <c r="H69" s="67">
        <f t="shared" si="2"/>
        <v>53.9</v>
      </c>
      <c r="I69" s="149">
        <v>165</v>
      </c>
    </row>
    <row r="70" spans="1:9" ht="35.25" customHeight="1" x14ac:dyDescent="0.25">
      <c r="A70" s="72">
        <v>3</v>
      </c>
      <c r="B70" s="148" t="s">
        <v>486</v>
      </c>
      <c r="C70" s="149">
        <v>275</v>
      </c>
      <c r="D70" s="67">
        <f t="shared" si="0"/>
        <v>192.5</v>
      </c>
      <c r="E70" s="149">
        <v>165</v>
      </c>
      <c r="F70" s="67">
        <f t="shared" si="1"/>
        <v>115.49999999999999</v>
      </c>
      <c r="G70" s="149">
        <v>110.00000000000001</v>
      </c>
      <c r="H70" s="67">
        <f t="shared" si="2"/>
        <v>77</v>
      </c>
      <c r="I70" s="149">
        <v>275</v>
      </c>
    </row>
    <row r="71" spans="1:9" ht="35.25" customHeight="1" x14ac:dyDescent="0.25">
      <c r="A71" s="147" t="s">
        <v>330</v>
      </c>
      <c r="B71" s="151" t="s">
        <v>532</v>
      </c>
      <c r="C71" s="150"/>
      <c r="D71" s="67"/>
      <c r="E71" s="150"/>
      <c r="F71" s="67"/>
      <c r="G71" s="150"/>
      <c r="H71" s="67"/>
      <c r="I71" s="150"/>
    </row>
    <row r="72" spans="1:9" ht="36" customHeight="1" x14ac:dyDescent="0.25">
      <c r="A72" s="72">
        <v>1</v>
      </c>
      <c r="B72" s="148" t="s">
        <v>973</v>
      </c>
      <c r="C72" s="149">
        <v>297</v>
      </c>
      <c r="D72" s="67">
        <f t="shared" si="0"/>
        <v>207.89999999999998</v>
      </c>
      <c r="E72" s="149">
        <v>220.00000000000003</v>
      </c>
      <c r="F72" s="67">
        <f t="shared" si="1"/>
        <v>154</v>
      </c>
      <c r="G72" s="149">
        <v>143</v>
      </c>
      <c r="H72" s="67">
        <f t="shared" si="2"/>
        <v>100.1</v>
      </c>
      <c r="I72" s="149">
        <v>297</v>
      </c>
    </row>
    <row r="73" spans="1:9" ht="34.5" customHeight="1" x14ac:dyDescent="0.25">
      <c r="A73" s="72">
        <v>2</v>
      </c>
      <c r="B73" s="148" t="s">
        <v>533</v>
      </c>
      <c r="C73" s="149">
        <v>132</v>
      </c>
      <c r="D73" s="67">
        <f t="shared" ref="D73:D91" si="3">C73*$D$4</f>
        <v>92.399999999999991</v>
      </c>
      <c r="E73" s="149">
        <v>99.000000000000014</v>
      </c>
      <c r="F73" s="67">
        <f t="shared" ref="F73:F91" si="4">E73*$F$4</f>
        <v>69.300000000000011</v>
      </c>
      <c r="G73" s="149">
        <v>77</v>
      </c>
      <c r="H73" s="67">
        <f t="shared" ref="H73:H91" si="5">G73*$H$4</f>
        <v>53.9</v>
      </c>
      <c r="I73" s="149">
        <v>132</v>
      </c>
    </row>
    <row r="74" spans="1:9" ht="34.5" customHeight="1" x14ac:dyDescent="0.25">
      <c r="A74" s="72">
        <v>3</v>
      </c>
      <c r="B74" s="148" t="s">
        <v>486</v>
      </c>
      <c r="C74" s="149">
        <v>198.00000000000003</v>
      </c>
      <c r="D74" s="67">
        <f t="shared" si="3"/>
        <v>138.60000000000002</v>
      </c>
      <c r="E74" s="149">
        <v>165</v>
      </c>
      <c r="F74" s="67">
        <f t="shared" si="4"/>
        <v>115.49999999999999</v>
      </c>
      <c r="G74" s="149">
        <v>110.00000000000001</v>
      </c>
      <c r="H74" s="67">
        <f t="shared" si="5"/>
        <v>77</v>
      </c>
      <c r="I74" s="149">
        <v>198.00000000000003</v>
      </c>
    </row>
    <row r="75" spans="1:9" ht="34.5" customHeight="1" x14ac:dyDescent="0.25">
      <c r="A75" s="147" t="s">
        <v>339</v>
      </c>
      <c r="B75" s="151" t="s">
        <v>534</v>
      </c>
      <c r="C75" s="150"/>
      <c r="D75" s="67"/>
      <c r="E75" s="150"/>
      <c r="F75" s="67"/>
      <c r="G75" s="150"/>
      <c r="H75" s="67"/>
      <c r="I75" s="150"/>
    </row>
    <row r="76" spans="1:9" ht="57.75" customHeight="1" x14ac:dyDescent="0.25">
      <c r="A76" s="72">
        <v>1</v>
      </c>
      <c r="B76" s="148" t="s">
        <v>535</v>
      </c>
      <c r="C76" s="149">
        <v>554</v>
      </c>
      <c r="D76" s="67">
        <f t="shared" si="3"/>
        <v>387.79999999999995</v>
      </c>
      <c r="E76" s="149">
        <v>254.84</v>
      </c>
      <c r="F76" s="67">
        <f t="shared" si="4"/>
        <v>178.38800000000001</v>
      </c>
      <c r="G76" s="149">
        <v>121.88</v>
      </c>
      <c r="H76" s="67">
        <f t="shared" si="5"/>
        <v>85.315999999999988</v>
      </c>
      <c r="I76" s="149">
        <v>554</v>
      </c>
    </row>
    <row r="77" spans="1:9" ht="34.5" customHeight="1" x14ac:dyDescent="0.25">
      <c r="A77" s="72">
        <v>2</v>
      </c>
      <c r="B77" s="148" t="s">
        <v>536</v>
      </c>
      <c r="C77" s="149">
        <v>132</v>
      </c>
      <c r="D77" s="67">
        <f t="shared" si="3"/>
        <v>92.399999999999991</v>
      </c>
      <c r="E77" s="149">
        <v>99.000000000000014</v>
      </c>
      <c r="F77" s="67">
        <f t="shared" si="4"/>
        <v>69.300000000000011</v>
      </c>
      <c r="G77" s="149">
        <v>88</v>
      </c>
      <c r="H77" s="67">
        <f t="shared" si="5"/>
        <v>61.599999999999994</v>
      </c>
      <c r="I77" s="149">
        <v>132</v>
      </c>
    </row>
    <row r="78" spans="1:9" ht="34.5" customHeight="1" x14ac:dyDescent="0.25">
      <c r="A78" s="72">
        <v>3</v>
      </c>
      <c r="B78" s="148" t="s">
        <v>486</v>
      </c>
      <c r="C78" s="149">
        <v>198.00000000000003</v>
      </c>
      <c r="D78" s="67">
        <f t="shared" si="3"/>
        <v>138.60000000000002</v>
      </c>
      <c r="E78" s="149">
        <v>132</v>
      </c>
      <c r="F78" s="67">
        <f t="shared" si="4"/>
        <v>92.399999999999991</v>
      </c>
      <c r="G78" s="149">
        <v>77</v>
      </c>
      <c r="H78" s="67">
        <f t="shared" si="5"/>
        <v>53.9</v>
      </c>
      <c r="I78" s="149">
        <v>198.00000000000003</v>
      </c>
    </row>
    <row r="79" spans="1:9" ht="34.5" customHeight="1" x14ac:dyDescent="0.25">
      <c r="A79" s="147" t="s">
        <v>344</v>
      </c>
      <c r="B79" s="151" t="s">
        <v>537</v>
      </c>
      <c r="C79" s="150"/>
      <c r="D79" s="67"/>
      <c r="E79" s="150"/>
      <c r="F79" s="67"/>
      <c r="G79" s="150"/>
      <c r="H79" s="67"/>
      <c r="I79" s="150"/>
    </row>
    <row r="80" spans="1:9" ht="57" customHeight="1" x14ac:dyDescent="0.25">
      <c r="A80" s="72">
        <v>1</v>
      </c>
      <c r="B80" s="148" t="s">
        <v>538</v>
      </c>
      <c r="C80" s="149">
        <v>385.00000000000006</v>
      </c>
      <c r="D80" s="67">
        <f t="shared" si="3"/>
        <v>269.5</v>
      </c>
      <c r="E80" s="149">
        <v>253.00000000000003</v>
      </c>
      <c r="F80" s="67">
        <f t="shared" si="4"/>
        <v>177.10000000000002</v>
      </c>
      <c r="G80" s="149">
        <v>132</v>
      </c>
      <c r="H80" s="67">
        <f t="shared" si="5"/>
        <v>92.399999999999991</v>
      </c>
      <c r="I80" s="149">
        <v>385.00000000000006</v>
      </c>
    </row>
    <row r="81" spans="1:9" ht="36.75" customHeight="1" x14ac:dyDescent="0.25">
      <c r="A81" s="72">
        <v>2</v>
      </c>
      <c r="B81" s="148" t="s">
        <v>539</v>
      </c>
      <c r="C81" s="149">
        <v>132</v>
      </c>
      <c r="D81" s="67">
        <f t="shared" si="3"/>
        <v>92.399999999999991</v>
      </c>
      <c r="E81" s="149">
        <v>99.000000000000014</v>
      </c>
      <c r="F81" s="67">
        <f t="shared" si="4"/>
        <v>69.300000000000011</v>
      </c>
      <c r="G81" s="149">
        <v>77</v>
      </c>
      <c r="H81" s="67">
        <f t="shared" si="5"/>
        <v>53.9</v>
      </c>
      <c r="I81" s="149">
        <v>132</v>
      </c>
    </row>
    <row r="82" spans="1:9" ht="36.75" customHeight="1" x14ac:dyDescent="0.25">
      <c r="A82" s="72">
        <v>3</v>
      </c>
      <c r="B82" s="148" t="s">
        <v>486</v>
      </c>
      <c r="C82" s="149">
        <v>198.00000000000003</v>
      </c>
      <c r="D82" s="67">
        <f t="shared" si="3"/>
        <v>138.60000000000002</v>
      </c>
      <c r="E82" s="149">
        <v>165</v>
      </c>
      <c r="F82" s="67">
        <f t="shared" si="4"/>
        <v>115.49999999999999</v>
      </c>
      <c r="G82" s="149">
        <v>110.00000000000001</v>
      </c>
      <c r="H82" s="67">
        <f t="shared" si="5"/>
        <v>77</v>
      </c>
      <c r="I82" s="149">
        <v>198.00000000000003</v>
      </c>
    </row>
    <row r="83" spans="1:9" ht="36.75" customHeight="1" x14ac:dyDescent="0.25">
      <c r="A83" s="147" t="s">
        <v>540</v>
      </c>
      <c r="B83" s="151" t="s">
        <v>541</v>
      </c>
      <c r="C83" s="150"/>
      <c r="D83" s="67"/>
      <c r="E83" s="150"/>
      <c r="F83" s="67"/>
      <c r="G83" s="150"/>
      <c r="H83" s="67"/>
      <c r="I83" s="150"/>
    </row>
    <row r="84" spans="1:9" ht="60" customHeight="1" x14ac:dyDescent="0.25">
      <c r="A84" s="72">
        <v>1</v>
      </c>
      <c r="B84" s="148" t="s">
        <v>542</v>
      </c>
      <c r="C84" s="149">
        <v>550</v>
      </c>
      <c r="D84" s="67">
        <f t="shared" si="3"/>
        <v>385</v>
      </c>
      <c r="E84" s="149">
        <v>275</v>
      </c>
      <c r="F84" s="67">
        <f t="shared" si="4"/>
        <v>192.5</v>
      </c>
      <c r="G84" s="149">
        <v>165</v>
      </c>
      <c r="H84" s="67">
        <f t="shared" si="5"/>
        <v>115.49999999999999</v>
      </c>
      <c r="I84" s="149">
        <v>550</v>
      </c>
    </row>
    <row r="85" spans="1:9" ht="35.25" customHeight="1" x14ac:dyDescent="0.25">
      <c r="A85" s="72">
        <v>2</v>
      </c>
      <c r="B85" s="148" t="s">
        <v>974</v>
      </c>
      <c r="C85" s="149">
        <v>330</v>
      </c>
      <c r="D85" s="67">
        <f t="shared" si="3"/>
        <v>230.99999999999997</v>
      </c>
      <c r="E85" s="149">
        <v>165</v>
      </c>
      <c r="F85" s="67">
        <f t="shared" si="4"/>
        <v>115.49999999999999</v>
      </c>
      <c r="G85" s="149">
        <v>110.00000000000001</v>
      </c>
      <c r="H85" s="67">
        <f t="shared" si="5"/>
        <v>77</v>
      </c>
      <c r="I85" s="149">
        <v>330</v>
      </c>
    </row>
    <row r="86" spans="1:9" ht="38.25" customHeight="1" x14ac:dyDescent="0.25">
      <c r="A86" s="72">
        <v>3</v>
      </c>
      <c r="B86" s="148" t="s">
        <v>543</v>
      </c>
      <c r="C86" s="149">
        <v>165</v>
      </c>
      <c r="D86" s="67">
        <f t="shared" si="3"/>
        <v>115.49999999999999</v>
      </c>
      <c r="E86" s="149">
        <v>110.00000000000001</v>
      </c>
      <c r="F86" s="67">
        <f t="shared" si="4"/>
        <v>77</v>
      </c>
      <c r="G86" s="149">
        <v>88</v>
      </c>
      <c r="H86" s="67">
        <f t="shared" si="5"/>
        <v>61.599999999999994</v>
      </c>
      <c r="I86" s="149">
        <v>165</v>
      </c>
    </row>
    <row r="87" spans="1:9" ht="38.25" customHeight="1" x14ac:dyDescent="0.25">
      <c r="A87" s="72">
        <v>4</v>
      </c>
      <c r="B87" s="148" t="s">
        <v>486</v>
      </c>
      <c r="C87" s="149">
        <v>132</v>
      </c>
      <c r="D87" s="67">
        <f t="shared" si="3"/>
        <v>92.399999999999991</v>
      </c>
      <c r="E87" s="149">
        <v>99.000000000000014</v>
      </c>
      <c r="F87" s="67">
        <f t="shared" si="4"/>
        <v>69.300000000000011</v>
      </c>
      <c r="G87" s="149">
        <v>88</v>
      </c>
      <c r="H87" s="67">
        <f t="shared" si="5"/>
        <v>61.599999999999994</v>
      </c>
      <c r="I87" s="149">
        <v>132</v>
      </c>
    </row>
    <row r="88" spans="1:9" ht="57.75" customHeight="1" x14ac:dyDescent="0.25">
      <c r="A88" s="147" t="s">
        <v>544</v>
      </c>
      <c r="B88" s="151" t="s">
        <v>545</v>
      </c>
      <c r="C88" s="150"/>
      <c r="D88" s="67"/>
      <c r="E88" s="150"/>
      <c r="F88" s="67"/>
      <c r="G88" s="150"/>
      <c r="H88" s="67"/>
      <c r="I88" s="150"/>
    </row>
    <row r="89" spans="1:9" ht="72.75" customHeight="1" x14ac:dyDescent="0.25">
      <c r="A89" s="72">
        <v>1</v>
      </c>
      <c r="B89" s="148" t="s">
        <v>975</v>
      </c>
      <c r="C89" s="149">
        <v>286</v>
      </c>
      <c r="D89" s="67">
        <f t="shared" si="3"/>
        <v>200.2</v>
      </c>
      <c r="E89" s="149">
        <v>165</v>
      </c>
      <c r="F89" s="67">
        <f t="shared" si="4"/>
        <v>115.49999999999999</v>
      </c>
      <c r="G89" s="149">
        <v>121.00000000000001</v>
      </c>
      <c r="H89" s="67">
        <f t="shared" si="5"/>
        <v>84.7</v>
      </c>
      <c r="I89" s="149">
        <v>286</v>
      </c>
    </row>
    <row r="90" spans="1:9" ht="37.5" customHeight="1" x14ac:dyDescent="0.25">
      <c r="A90" s="72">
        <v>2</v>
      </c>
      <c r="B90" s="148" t="s">
        <v>546</v>
      </c>
      <c r="C90" s="149">
        <v>132</v>
      </c>
      <c r="D90" s="67">
        <f t="shared" si="3"/>
        <v>92.399999999999991</v>
      </c>
      <c r="E90" s="149">
        <v>99.000000000000014</v>
      </c>
      <c r="F90" s="67">
        <f t="shared" si="4"/>
        <v>69.300000000000011</v>
      </c>
      <c r="G90" s="149">
        <v>77</v>
      </c>
      <c r="H90" s="67">
        <f t="shared" si="5"/>
        <v>53.9</v>
      </c>
      <c r="I90" s="149">
        <v>132</v>
      </c>
    </row>
    <row r="91" spans="1:9" ht="62.25" customHeight="1" x14ac:dyDescent="0.25">
      <c r="A91" s="147" t="s">
        <v>547</v>
      </c>
      <c r="B91" s="151" t="s">
        <v>548</v>
      </c>
      <c r="C91" s="150">
        <v>539</v>
      </c>
      <c r="D91" s="67">
        <f t="shared" si="3"/>
        <v>377.29999999999995</v>
      </c>
      <c r="E91" s="150">
        <v>269.5</v>
      </c>
      <c r="F91" s="67">
        <f t="shared" si="4"/>
        <v>188.64999999999998</v>
      </c>
      <c r="G91" s="150">
        <v>197.65130000000002</v>
      </c>
      <c r="H91" s="67">
        <f t="shared" si="5"/>
        <v>138.35590999999999</v>
      </c>
      <c r="I91" s="150">
        <v>539</v>
      </c>
    </row>
  </sheetData>
  <mergeCells count="4">
    <mergeCell ref="C2:H2"/>
    <mergeCell ref="A3:A5"/>
    <mergeCell ref="B3:B5"/>
    <mergeCell ref="C3:H3"/>
  </mergeCells>
  <pageMargins left="0.28740157500000002" right="0.19055118110236199" top="0.49055118110236201" bottom="0.19055118110236199" header="0.118110236220472" footer="0.118110236220472"/>
  <pageSetup paperSize="9" scale="95" firstPageNumber="30" orientation="portrait"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opLeftCell="I1" zoomScale="85" zoomScaleNormal="85" workbookViewId="0">
      <selection activeCell="AC10" sqref="AC10"/>
    </sheetView>
  </sheetViews>
  <sheetFormatPr defaultRowHeight="18.75" x14ac:dyDescent="0.3"/>
  <cols>
    <col min="1" max="1" width="9.85546875" style="28" hidden="1" customWidth="1"/>
    <col min="2" max="2" width="7.28515625" style="28" hidden="1" customWidth="1"/>
    <col min="3" max="3" width="7.42578125" style="29" hidden="1" customWidth="1"/>
    <col min="4" max="4" width="7.5703125" style="29" hidden="1" customWidth="1"/>
    <col min="5" max="5" width="11" style="29" hidden="1" customWidth="1"/>
    <col min="6" max="6" width="6.7109375" style="38" hidden="1" customWidth="1"/>
    <col min="7" max="7" width="6.42578125" style="29" hidden="1" customWidth="1"/>
    <col min="8" max="8" width="5.140625" style="29" hidden="1" customWidth="1"/>
    <col min="9" max="9" width="6" style="29" customWidth="1"/>
    <col min="10" max="10" width="68.5703125" style="28" customWidth="1"/>
    <col min="11" max="11" width="12.7109375" style="38" hidden="1" customWidth="1"/>
    <col min="12" max="12" width="14.5703125" style="29" hidden="1" customWidth="1"/>
    <col min="13" max="13" width="1.28515625" style="29" hidden="1" customWidth="1"/>
    <col min="14" max="14" width="12.42578125" style="38" customWidth="1"/>
    <col min="15" max="15" width="12.140625" style="29" customWidth="1"/>
    <col min="16" max="16" width="16.5703125" style="29" customWidth="1"/>
    <col min="17" max="17" width="13" style="38" hidden="1" customWidth="1"/>
    <col min="18" max="18" width="14.7109375" style="29" hidden="1" customWidth="1"/>
    <col min="19" max="19" width="10.5703125" style="29" hidden="1" customWidth="1"/>
    <col min="20" max="20" width="7.5703125" style="28" hidden="1" customWidth="1"/>
    <col min="21" max="21" width="10.5703125" style="28" hidden="1" customWidth="1"/>
    <col min="22" max="26" width="0" style="28" hidden="1" customWidth="1"/>
    <col min="27" max="256" width="9.140625" style="28"/>
    <col min="257" max="264" width="0" style="28" hidden="1" customWidth="1"/>
    <col min="265" max="265" width="6" style="28" customWidth="1"/>
    <col min="266" max="266" width="59.85546875" style="28" customWidth="1"/>
    <col min="267" max="269" width="0" style="28" hidden="1" customWidth="1"/>
    <col min="270" max="271" width="9.85546875" style="28" customWidth="1"/>
    <col min="272" max="272" width="10.5703125" style="28" customWidth="1"/>
    <col min="273" max="275" width="0" style="28" hidden="1" customWidth="1"/>
    <col min="276" max="276" width="7.5703125" style="28" bestFit="1" customWidth="1"/>
    <col min="277" max="277" width="10.5703125" style="28" customWidth="1"/>
    <col min="278" max="512" width="9.140625" style="28"/>
    <col min="513" max="520" width="0" style="28" hidden="1" customWidth="1"/>
    <col min="521" max="521" width="6" style="28" customWidth="1"/>
    <col min="522" max="522" width="59.85546875" style="28" customWidth="1"/>
    <col min="523" max="525" width="0" style="28" hidden="1" customWidth="1"/>
    <col min="526" max="527" width="9.85546875" style="28" customWidth="1"/>
    <col min="528" max="528" width="10.5703125" style="28" customWidth="1"/>
    <col min="529" max="531" width="0" style="28" hidden="1" customWidth="1"/>
    <col min="532" max="532" width="7.5703125" style="28" bestFit="1" customWidth="1"/>
    <col min="533" max="533" width="10.5703125" style="28" customWidth="1"/>
    <col min="534" max="768" width="9.140625" style="28"/>
    <col min="769" max="776" width="0" style="28" hidden="1" customWidth="1"/>
    <col min="777" max="777" width="6" style="28" customWidth="1"/>
    <col min="778" max="778" width="59.85546875" style="28" customWidth="1"/>
    <col min="779" max="781" width="0" style="28" hidden="1" customWidth="1"/>
    <col min="782" max="783" width="9.85546875" style="28" customWidth="1"/>
    <col min="784" max="784" width="10.5703125" style="28" customWidth="1"/>
    <col min="785" max="787" width="0" style="28" hidden="1" customWidth="1"/>
    <col min="788" max="788" width="7.5703125" style="28" bestFit="1" customWidth="1"/>
    <col min="789" max="789" width="10.5703125" style="28" customWidth="1"/>
    <col min="790" max="1024" width="9.140625" style="28"/>
    <col min="1025" max="1032" width="0" style="28" hidden="1" customWidth="1"/>
    <col min="1033" max="1033" width="6" style="28" customWidth="1"/>
    <col min="1034" max="1034" width="59.85546875" style="28" customWidth="1"/>
    <col min="1035" max="1037" width="0" style="28" hidden="1" customWidth="1"/>
    <col min="1038" max="1039" width="9.85546875" style="28" customWidth="1"/>
    <col min="1040" max="1040" width="10.5703125" style="28" customWidth="1"/>
    <col min="1041" max="1043" width="0" style="28" hidden="1" customWidth="1"/>
    <col min="1044" max="1044" width="7.5703125" style="28" bestFit="1" customWidth="1"/>
    <col min="1045" max="1045" width="10.5703125" style="28" customWidth="1"/>
    <col min="1046" max="1280" width="9.140625" style="28"/>
    <col min="1281" max="1288" width="0" style="28" hidden="1" customWidth="1"/>
    <col min="1289" max="1289" width="6" style="28" customWidth="1"/>
    <col min="1290" max="1290" width="59.85546875" style="28" customWidth="1"/>
    <col min="1291" max="1293" width="0" style="28" hidden="1" customWidth="1"/>
    <col min="1294" max="1295" width="9.85546875" style="28" customWidth="1"/>
    <col min="1296" max="1296" width="10.5703125" style="28" customWidth="1"/>
    <col min="1297" max="1299" width="0" style="28" hidden="1" customWidth="1"/>
    <col min="1300" max="1300" width="7.5703125" style="28" bestFit="1" customWidth="1"/>
    <col min="1301" max="1301" width="10.5703125" style="28" customWidth="1"/>
    <col min="1302" max="1536" width="9.140625" style="28"/>
    <col min="1537" max="1544" width="0" style="28" hidden="1" customWidth="1"/>
    <col min="1545" max="1545" width="6" style="28" customWidth="1"/>
    <col min="1546" max="1546" width="59.85546875" style="28" customWidth="1"/>
    <col min="1547" max="1549" width="0" style="28" hidden="1" customWidth="1"/>
    <col min="1550" max="1551" width="9.85546875" style="28" customWidth="1"/>
    <col min="1552" max="1552" width="10.5703125" style="28" customWidth="1"/>
    <col min="1553" max="1555" width="0" style="28" hidden="1" customWidth="1"/>
    <col min="1556" max="1556" width="7.5703125" style="28" bestFit="1" customWidth="1"/>
    <col min="1557" max="1557" width="10.5703125" style="28" customWidth="1"/>
    <col min="1558" max="1792" width="9.140625" style="28"/>
    <col min="1793" max="1800" width="0" style="28" hidden="1" customWidth="1"/>
    <col min="1801" max="1801" width="6" style="28" customWidth="1"/>
    <col min="1802" max="1802" width="59.85546875" style="28" customWidth="1"/>
    <col min="1803" max="1805" width="0" style="28" hidden="1" customWidth="1"/>
    <col min="1806" max="1807" width="9.85546875" style="28" customWidth="1"/>
    <col min="1808" max="1808" width="10.5703125" style="28" customWidth="1"/>
    <col min="1809" max="1811" width="0" style="28" hidden="1" customWidth="1"/>
    <col min="1812" max="1812" width="7.5703125" style="28" bestFit="1" customWidth="1"/>
    <col min="1813" max="1813" width="10.5703125" style="28" customWidth="1"/>
    <col min="1814" max="2048" width="9.140625" style="28"/>
    <col min="2049" max="2056" width="0" style="28" hidden="1" customWidth="1"/>
    <col min="2057" max="2057" width="6" style="28" customWidth="1"/>
    <col min="2058" max="2058" width="59.85546875" style="28" customWidth="1"/>
    <col min="2059" max="2061" width="0" style="28" hidden="1" customWidth="1"/>
    <col min="2062" max="2063" width="9.85546875" style="28" customWidth="1"/>
    <col min="2064" max="2064" width="10.5703125" style="28" customWidth="1"/>
    <col min="2065" max="2067" width="0" style="28" hidden="1" customWidth="1"/>
    <col min="2068" max="2068" width="7.5703125" style="28" bestFit="1" customWidth="1"/>
    <col min="2069" max="2069" width="10.5703125" style="28" customWidth="1"/>
    <col min="2070" max="2304" width="9.140625" style="28"/>
    <col min="2305" max="2312" width="0" style="28" hidden="1" customWidth="1"/>
    <col min="2313" max="2313" width="6" style="28" customWidth="1"/>
    <col min="2314" max="2314" width="59.85546875" style="28" customWidth="1"/>
    <col min="2315" max="2317" width="0" style="28" hidden="1" customWidth="1"/>
    <col min="2318" max="2319" width="9.85546875" style="28" customWidth="1"/>
    <col min="2320" max="2320" width="10.5703125" style="28" customWidth="1"/>
    <col min="2321" max="2323" width="0" style="28" hidden="1" customWidth="1"/>
    <col min="2324" max="2324" width="7.5703125" style="28" bestFit="1" customWidth="1"/>
    <col min="2325" max="2325" width="10.5703125" style="28" customWidth="1"/>
    <col min="2326" max="2560" width="9.140625" style="28"/>
    <col min="2561" max="2568" width="0" style="28" hidden="1" customWidth="1"/>
    <col min="2569" max="2569" width="6" style="28" customWidth="1"/>
    <col min="2570" max="2570" width="59.85546875" style="28" customWidth="1"/>
    <col min="2571" max="2573" width="0" style="28" hidden="1" customWidth="1"/>
    <col min="2574" max="2575" width="9.85546875" style="28" customWidth="1"/>
    <col min="2576" max="2576" width="10.5703125" style="28" customWidth="1"/>
    <col min="2577" max="2579" width="0" style="28" hidden="1" customWidth="1"/>
    <col min="2580" max="2580" width="7.5703125" style="28" bestFit="1" customWidth="1"/>
    <col min="2581" max="2581" width="10.5703125" style="28" customWidth="1"/>
    <col min="2582" max="2816" width="9.140625" style="28"/>
    <col min="2817" max="2824" width="0" style="28" hidden="1" customWidth="1"/>
    <col min="2825" max="2825" width="6" style="28" customWidth="1"/>
    <col min="2826" max="2826" width="59.85546875" style="28" customWidth="1"/>
    <col min="2827" max="2829" width="0" style="28" hidden="1" customWidth="1"/>
    <col min="2830" max="2831" width="9.85546875" style="28" customWidth="1"/>
    <col min="2832" max="2832" width="10.5703125" style="28" customWidth="1"/>
    <col min="2833" max="2835" width="0" style="28" hidden="1" customWidth="1"/>
    <col min="2836" max="2836" width="7.5703125" style="28" bestFit="1" customWidth="1"/>
    <col min="2837" max="2837" width="10.5703125" style="28" customWidth="1"/>
    <col min="2838" max="3072" width="9.140625" style="28"/>
    <col min="3073" max="3080" width="0" style="28" hidden="1" customWidth="1"/>
    <col min="3081" max="3081" width="6" style="28" customWidth="1"/>
    <col min="3082" max="3082" width="59.85546875" style="28" customWidth="1"/>
    <col min="3083" max="3085" width="0" style="28" hidden="1" customWidth="1"/>
    <col min="3086" max="3087" width="9.85546875" style="28" customWidth="1"/>
    <col min="3088" max="3088" width="10.5703125" style="28" customWidth="1"/>
    <col min="3089" max="3091" width="0" style="28" hidden="1" customWidth="1"/>
    <col min="3092" max="3092" width="7.5703125" style="28" bestFit="1" customWidth="1"/>
    <col min="3093" max="3093" width="10.5703125" style="28" customWidth="1"/>
    <col min="3094" max="3328" width="9.140625" style="28"/>
    <col min="3329" max="3336" width="0" style="28" hidden="1" customWidth="1"/>
    <col min="3337" max="3337" width="6" style="28" customWidth="1"/>
    <col min="3338" max="3338" width="59.85546875" style="28" customWidth="1"/>
    <col min="3339" max="3341" width="0" style="28" hidden="1" customWidth="1"/>
    <col min="3342" max="3343" width="9.85546875" style="28" customWidth="1"/>
    <col min="3344" max="3344" width="10.5703125" style="28" customWidth="1"/>
    <col min="3345" max="3347" width="0" style="28" hidden="1" customWidth="1"/>
    <col min="3348" max="3348" width="7.5703125" style="28" bestFit="1" customWidth="1"/>
    <col min="3349" max="3349" width="10.5703125" style="28" customWidth="1"/>
    <col min="3350" max="3584" width="9.140625" style="28"/>
    <col min="3585" max="3592" width="0" style="28" hidden="1" customWidth="1"/>
    <col min="3593" max="3593" width="6" style="28" customWidth="1"/>
    <col min="3594" max="3594" width="59.85546875" style="28" customWidth="1"/>
    <col min="3595" max="3597" width="0" style="28" hidden="1" customWidth="1"/>
    <col min="3598" max="3599" width="9.85546875" style="28" customWidth="1"/>
    <col min="3600" max="3600" width="10.5703125" style="28" customWidth="1"/>
    <col min="3601" max="3603" width="0" style="28" hidden="1" customWidth="1"/>
    <col min="3604" max="3604" width="7.5703125" style="28" bestFit="1" customWidth="1"/>
    <col min="3605" max="3605" width="10.5703125" style="28" customWidth="1"/>
    <col min="3606" max="3840" width="9.140625" style="28"/>
    <col min="3841" max="3848" width="0" style="28" hidden="1" customWidth="1"/>
    <col min="3849" max="3849" width="6" style="28" customWidth="1"/>
    <col min="3850" max="3850" width="59.85546875" style="28" customWidth="1"/>
    <col min="3851" max="3853" width="0" style="28" hidden="1" customWidth="1"/>
    <col min="3854" max="3855" width="9.85546875" style="28" customWidth="1"/>
    <col min="3856" max="3856" width="10.5703125" style="28" customWidth="1"/>
    <col min="3857" max="3859" width="0" style="28" hidden="1" customWidth="1"/>
    <col min="3860" max="3860" width="7.5703125" style="28" bestFit="1" customWidth="1"/>
    <col min="3861" max="3861" width="10.5703125" style="28" customWidth="1"/>
    <col min="3862" max="4096" width="9.140625" style="28"/>
    <col min="4097" max="4104" width="0" style="28" hidden="1" customWidth="1"/>
    <col min="4105" max="4105" width="6" style="28" customWidth="1"/>
    <col min="4106" max="4106" width="59.85546875" style="28" customWidth="1"/>
    <col min="4107" max="4109" width="0" style="28" hidden="1" customWidth="1"/>
    <col min="4110" max="4111" width="9.85546875" style="28" customWidth="1"/>
    <col min="4112" max="4112" width="10.5703125" style="28" customWidth="1"/>
    <col min="4113" max="4115" width="0" style="28" hidden="1" customWidth="1"/>
    <col min="4116" max="4116" width="7.5703125" style="28" bestFit="1" customWidth="1"/>
    <col min="4117" max="4117" width="10.5703125" style="28" customWidth="1"/>
    <col min="4118" max="4352" width="9.140625" style="28"/>
    <col min="4353" max="4360" width="0" style="28" hidden="1" customWidth="1"/>
    <col min="4361" max="4361" width="6" style="28" customWidth="1"/>
    <col min="4362" max="4362" width="59.85546875" style="28" customWidth="1"/>
    <col min="4363" max="4365" width="0" style="28" hidden="1" customWidth="1"/>
    <col min="4366" max="4367" width="9.85546875" style="28" customWidth="1"/>
    <col min="4368" max="4368" width="10.5703125" style="28" customWidth="1"/>
    <col min="4369" max="4371" width="0" style="28" hidden="1" customWidth="1"/>
    <col min="4372" max="4372" width="7.5703125" style="28" bestFit="1" customWidth="1"/>
    <col min="4373" max="4373" width="10.5703125" style="28" customWidth="1"/>
    <col min="4374" max="4608" width="9.140625" style="28"/>
    <col min="4609" max="4616" width="0" style="28" hidden="1" customWidth="1"/>
    <col min="4617" max="4617" width="6" style="28" customWidth="1"/>
    <col min="4618" max="4618" width="59.85546875" style="28" customWidth="1"/>
    <col min="4619" max="4621" width="0" style="28" hidden="1" customWidth="1"/>
    <col min="4622" max="4623" width="9.85546875" style="28" customWidth="1"/>
    <col min="4624" max="4624" width="10.5703125" style="28" customWidth="1"/>
    <col min="4625" max="4627" width="0" style="28" hidden="1" customWidth="1"/>
    <col min="4628" max="4628" width="7.5703125" style="28" bestFit="1" customWidth="1"/>
    <col min="4629" max="4629" width="10.5703125" style="28" customWidth="1"/>
    <col min="4630" max="4864" width="9.140625" style="28"/>
    <col min="4865" max="4872" width="0" style="28" hidden="1" customWidth="1"/>
    <col min="4873" max="4873" width="6" style="28" customWidth="1"/>
    <col min="4874" max="4874" width="59.85546875" style="28" customWidth="1"/>
    <col min="4875" max="4877" width="0" style="28" hidden="1" customWidth="1"/>
    <col min="4878" max="4879" width="9.85546875" style="28" customWidth="1"/>
    <col min="4880" max="4880" width="10.5703125" style="28" customWidth="1"/>
    <col min="4881" max="4883" width="0" style="28" hidden="1" customWidth="1"/>
    <col min="4884" max="4884" width="7.5703125" style="28" bestFit="1" customWidth="1"/>
    <col min="4885" max="4885" width="10.5703125" style="28" customWidth="1"/>
    <col min="4886" max="5120" width="9.140625" style="28"/>
    <col min="5121" max="5128" width="0" style="28" hidden="1" customWidth="1"/>
    <col min="5129" max="5129" width="6" style="28" customWidth="1"/>
    <col min="5130" max="5130" width="59.85546875" style="28" customWidth="1"/>
    <col min="5131" max="5133" width="0" style="28" hidden="1" customWidth="1"/>
    <col min="5134" max="5135" width="9.85546875" style="28" customWidth="1"/>
    <col min="5136" max="5136" width="10.5703125" style="28" customWidth="1"/>
    <col min="5137" max="5139" width="0" style="28" hidden="1" customWidth="1"/>
    <col min="5140" max="5140" width="7.5703125" style="28" bestFit="1" customWidth="1"/>
    <col min="5141" max="5141" width="10.5703125" style="28" customWidth="1"/>
    <col min="5142" max="5376" width="9.140625" style="28"/>
    <col min="5377" max="5384" width="0" style="28" hidden="1" customWidth="1"/>
    <col min="5385" max="5385" width="6" style="28" customWidth="1"/>
    <col min="5386" max="5386" width="59.85546875" style="28" customWidth="1"/>
    <col min="5387" max="5389" width="0" style="28" hidden="1" customWidth="1"/>
    <col min="5390" max="5391" width="9.85546875" style="28" customWidth="1"/>
    <col min="5392" max="5392" width="10.5703125" style="28" customWidth="1"/>
    <col min="5393" max="5395" width="0" style="28" hidden="1" customWidth="1"/>
    <col min="5396" max="5396" width="7.5703125" style="28" bestFit="1" customWidth="1"/>
    <col min="5397" max="5397" width="10.5703125" style="28" customWidth="1"/>
    <col min="5398" max="5632" width="9.140625" style="28"/>
    <col min="5633" max="5640" width="0" style="28" hidden="1" customWidth="1"/>
    <col min="5641" max="5641" width="6" style="28" customWidth="1"/>
    <col min="5642" max="5642" width="59.85546875" style="28" customWidth="1"/>
    <col min="5643" max="5645" width="0" style="28" hidden="1" customWidth="1"/>
    <col min="5646" max="5647" width="9.85546875" style="28" customWidth="1"/>
    <col min="5648" max="5648" width="10.5703125" style="28" customWidth="1"/>
    <col min="5649" max="5651" width="0" style="28" hidden="1" customWidth="1"/>
    <col min="5652" max="5652" width="7.5703125" style="28" bestFit="1" customWidth="1"/>
    <col min="5653" max="5653" width="10.5703125" style="28" customWidth="1"/>
    <col min="5654" max="5888" width="9.140625" style="28"/>
    <col min="5889" max="5896" width="0" style="28" hidden="1" customWidth="1"/>
    <col min="5897" max="5897" width="6" style="28" customWidth="1"/>
    <col min="5898" max="5898" width="59.85546875" style="28" customWidth="1"/>
    <col min="5899" max="5901" width="0" style="28" hidden="1" customWidth="1"/>
    <col min="5902" max="5903" width="9.85546875" style="28" customWidth="1"/>
    <col min="5904" max="5904" width="10.5703125" style="28" customWidth="1"/>
    <col min="5905" max="5907" width="0" style="28" hidden="1" customWidth="1"/>
    <col min="5908" max="5908" width="7.5703125" style="28" bestFit="1" customWidth="1"/>
    <col min="5909" max="5909" width="10.5703125" style="28" customWidth="1"/>
    <col min="5910" max="6144" width="9.140625" style="28"/>
    <col min="6145" max="6152" width="0" style="28" hidden="1" customWidth="1"/>
    <col min="6153" max="6153" width="6" style="28" customWidth="1"/>
    <col min="6154" max="6154" width="59.85546875" style="28" customWidth="1"/>
    <col min="6155" max="6157" width="0" style="28" hidden="1" customWidth="1"/>
    <col min="6158" max="6159" width="9.85546875" style="28" customWidth="1"/>
    <col min="6160" max="6160" width="10.5703125" style="28" customWidth="1"/>
    <col min="6161" max="6163" width="0" style="28" hidden="1" customWidth="1"/>
    <col min="6164" max="6164" width="7.5703125" style="28" bestFit="1" customWidth="1"/>
    <col min="6165" max="6165" width="10.5703125" style="28" customWidth="1"/>
    <col min="6166" max="6400" width="9.140625" style="28"/>
    <col min="6401" max="6408" width="0" style="28" hidden="1" customWidth="1"/>
    <col min="6409" max="6409" width="6" style="28" customWidth="1"/>
    <col min="6410" max="6410" width="59.85546875" style="28" customWidth="1"/>
    <col min="6411" max="6413" width="0" style="28" hidden="1" customWidth="1"/>
    <col min="6414" max="6415" width="9.85546875" style="28" customWidth="1"/>
    <col min="6416" max="6416" width="10.5703125" style="28" customWidth="1"/>
    <col min="6417" max="6419" width="0" style="28" hidden="1" customWidth="1"/>
    <col min="6420" max="6420" width="7.5703125" style="28" bestFit="1" customWidth="1"/>
    <col min="6421" max="6421" width="10.5703125" style="28" customWidth="1"/>
    <col min="6422" max="6656" width="9.140625" style="28"/>
    <col min="6657" max="6664" width="0" style="28" hidden="1" customWidth="1"/>
    <col min="6665" max="6665" width="6" style="28" customWidth="1"/>
    <col min="6666" max="6666" width="59.85546875" style="28" customWidth="1"/>
    <col min="6667" max="6669" width="0" style="28" hidden="1" customWidth="1"/>
    <col min="6670" max="6671" width="9.85546875" style="28" customWidth="1"/>
    <col min="6672" max="6672" width="10.5703125" style="28" customWidth="1"/>
    <col min="6673" max="6675" width="0" style="28" hidden="1" customWidth="1"/>
    <col min="6676" max="6676" width="7.5703125" style="28" bestFit="1" customWidth="1"/>
    <col min="6677" max="6677" width="10.5703125" style="28" customWidth="1"/>
    <col min="6678" max="6912" width="9.140625" style="28"/>
    <col min="6913" max="6920" width="0" style="28" hidden="1" customWidth="1"/>
    <col min="6921" max="6921" width="6" style="28" customWidth="1"/>
    <col min="6922" max="6922" width="59.85546875" style="28" customWidth="1"/>
    <col min="6923" max="6925" width="0" style="28" hidden="1" customWidth="1"/>
    <col min="6926" max="6927" width="9.85546875" style="28" customWidth="1"/>
    <col min="6928" max="6928" width="10.5703125" style="28" customWidth="1"/>
    <col min="6929" max="6931" width="0" style="28" hidden="1" customWidth="1"/>
    <col min="6932" max="6932" width="7.5703125" style="28" bestFit="1" customWidth="1"/>
    <col min="6933" max="6933" width="10.5703125" style="28" customWidth="1"/>
    <col min="6934" max="7168" width="9.140625" style="28"/>
    <col min="7169" max="7176" width="0" style="28" hidden="1" customWidth="1"/>
    <col min="7177" max="7177" width="6" style="28" customWidth="1"/>
    <col min="7178" max="7178" width="59.85546875" style="28" customWidth="1"/>
    <col min="7179" max="7181" width="0" style="28" hidden="1" customWidth="1"/>
    <col min="7182" max="7183" width="9.85546875" style="28" customWidth="1"/>
    <col min="7184" max="7184" width="10.5703125" style="28" customWidth="1"/>
    <col min="7185" max="7187" width="0" style="28" hidden="1" customWidth="1"/>
    <col min="7188" max="7188" width="7.5703125" style="28" bestFit="1" customWidth="1"/>
    <col min="7189" max="7189" width="10.5703125" style="28" customWidth="1"/>
    <col min="7190" max="7424" width="9.140625" style="28"/>
    <col min="7425" max="7432" width="0" style="28" hidden="1" customWidth="1"/>
    <col min="7433" max="7433" width="6" style="28" customWidth="1"/>
    <col min="7434" max="7434" width="59.85546875" style="28" customWidth="1"/>
    <col min="7435" max="7437" width="0" style="28" hidden="1" customWidth="1"/>
    <col min="7438" max="7439" width="9.85546875" style="28" customWidth="1"/>
    <col min="7440" max="7440" width="10.5703125" style="28" customWidth="1"/>
    <col min="7441" max="7443" width="0" style="28" hidden="1" customWidth="1"/>
    <col min="7444" max="7444" width="7.5703125" style="28" bestFit="1" customWidth="1"/>
    <col min="7445" max="7445" width="10.5703125" style="28" customWidth="1"/>
    <col min="7446" max="7680" width="9.140625" style="28"/>
    <col min="7681" max="7688" width="0" style="28" hidden="1" customWidth="1"/>
    <col min="7689" max="7689" width="6" style="28" customWidth="1"/>
    <col min="7690" max="7690" width="59.85546875" style="28" customWidth="1"/>
    <col min="7691" max="7693" width="0" style="28" hidden="1" customWidth="1"/>
    <col min="7694" max="7695" width="9.85546875" style="28" customWidth="1"/>
    <col min="7696" max="7696" width="10.5703125" style="28" customWidth="1"/>
    <col min="7697" max="7699" width="0" style="28" hidden="1" customWidth="1"/>
    <col min="7700" max="7700" width="7.5703125" style="28" bestFit="1" customWidth="1"/>
    <col min="7701" max="7701" width="10.5703125" style="28" customWidth="1"/>
    <col min="7702" max="7936" width="9.140625" style="28"/>
    <col min="7937" max="7944" width="0" style="28" hidden="1" customWidth="1"/>
    <col min="7945" max="7945" width="6" style="28" customWidth="1"/>
    <col min="7946" max="7946" width="59.85546875" style="28" customWidth="1"/>
    <col min="7947" max="7949" width="0" style="28" hidden="1" customWidth="1"/>
    <col min="7950" max="7951" width="9.85546875" style="28" customWidth="1"/>
    <col min="7952" max="7952" width="10.5703125" style="28" customWidth="1"/>
    <col min="7953" max="7955" width="0" style="28" hidden="1" customWidth="1"/>
    <col min="7956" max="7956" width="7.5703125" style="28" bestFit="1" customWidth="1"/>
    <col min="7957" max="7957" width="10.5703125" style="28" customWidth="1"/>
    <col min="7958" max="8192" width="9.140625" style="28"/>
    <col min="8193" max="8200" width="0" style="28" hidden="1" customWidth="1"/>
    <col min="8201" max="8201" width="6" style="28" customWidth="1"/>
    <col min="8202" max="8202" width="59.85546875" style="28" customWidth="1"/>
    <col min="8203" max="8205" width="0" style="28" hidden="1" customWidth="1"/>
    <col min="8206" max="8207" width="9.85546875" style="28" customWidth="1"/>
    <col min="8208" max="8208" width="10.5703125" style="28" customWidth="1"/>
    <col min="8209" max="8211" width="0" style="28" hidden="1" customWidth="1"/>
    <col min="8212" max="8212" width="7.5703125" style="28" bestFit="1" customWidth="1"/>
    <col min="8213" max="8213" width="10.5703125" style="28" customWidth="1"/>
    <col min="8214" max="8448" width="9.140625" style="28"/>
    <col min="8449" max="8456" width="0" style="28" hidden="1" customWidth="1"/>
    <col min="8457" max="8457" width="6" style="28" customWidth="1"/>
    <col min="8458" max="8458" width="59.85546875" style="28" customWidth="1"/>
    <col min="8459" max="8461" width="0" style="28" hidden="1" customWidth="1"/>
    <col min="8462" max="8463" width="9.85546875" style="28" customWidth="1"/>
    <col min="8464" max="8464" width="10.5703125" style="28" customWidth="1"/>
    <col min="8465" max="8467" width="0" style="28" hidden="1" customWidth="1"/>
    <col min="8468" max="8468" width="7.5703125" style="28" bestFit="1" customWidth="1"/>
    <col min="8469" max="8469" width="10.5703125" style="28" customWidth="1"/>
    <col min="8470" max="8704" width="9.140625" style="28"/>
    <col min="8705" max="8712" width="0" style="28" hidden="1" customWidth="1"/>
    <col min="8713" max="8713" width="6" style="28" customWidth="1"/>
    <col min="8714" max="8714" width="59.85546875" style="28" customWidth="1"/>
    <col min="8715" max="8717" width="0" style="28" hidden="1" customWidth="1"/>
    <col min="8718" max="8719" width="9.85546875" style="28" customWidth="1"/>
    <col min="8720" max="8720" width="10.5703125" style="28" customWidth="1"/>
    <col min="8721" max="8723" width="0" style="28" hidden="1" customWidth="1"/>
    <col min="8724" max="8724" width="7.5703125" style="28" bestFit="1" customWidth="1"/>
    <col min="8725" max="8725" width="10.5703125" style="28" customWidth="1"/>
    <col min="8726" max="8960" width="9.140625" style="28"/>
    <col min="8961" max="8968" width="0" style="28" hidden="1" customWidth="1"/>
    <col min="8969" max="8969" width="6" style="28" customWidth="1"/>
    <col min="8970" max="8970" width="59.85546875" style="28" customWidth="1"/>
    <col min="8971" max="8973" width="0" style="28" hidden="1" customWidth="1"/>
    <col min="8974" max="8975" width="9.85546875" style="28" customWidth="1"/>
    <col min="8976" max="8976" width="10.5703125" style="28" customWidth="1"/>
    <col min="8977" max="8979" width="0" style="28" hidden="1" customWidth="1"/>
    <col min="8980" max="8980" width="7.5703125" style="28" bestFit="1" customWidth="1"/>
    <col min="8981" max="8981" width="10.5703125" style="28" customWidth="1"/>
    <col min="8982" max="9216" width="9.140625" style="28"/>
    <col min="9217" max="9224" width="0" style="28" hidden="1" customWidth="1"/>
    <col min="9225" max="9225" width="6" style="28" customWidth="1"/>
    <col min="9226" max="9226" width="59.85546875" style="28" customWidth="1"/>
    <col min="9227" max="9229" width="0" style="28" hidden="1" customWidth="1"/>
    <col min="9230" max="9231" width="9.85546875" style="28" customWidth="1"/>
    <col min="9232" max="9232" width="10.5703125" style="28" customWidth="1"/>
    <col min="9233" max="9235" width="0" style="28" hidden="1" customWidth="1"/>
    <col min="9236" max="9236" width="7.5703125" style="28" bestFit="1" customWidth="1"/>
    <col min="9237" max="9237" width="10.5703125" style="28" customWidth="1"/>
    <col min="9238" max="9472" width="9.140625" style="28"/>
    <col min="9473" max="9480" width="0" style="28" hidden="1" customWidth="1"/>
    <col min="9481" max="9481" width="6" style="28" customWidth="1"/>
    <col min="9482" max="9482" width="59.85546875" style="28" customWidth="1"/>
    <col min="9483" max="9485" width="0" style="28" hidden="1" customWidth="1"/>
    <col min="9486" max="9487" width="9.85546875" style="28" customWidth="1"/>
    <col min="9488" max="9488" width="10.5703125" style="28" customWidth="1"/>
    <col min="9489" max="9491" width="0" style="28" hidden="1" customWidth="1"/>
    <col min="9492" max="9492" width="7.5703125" style="28" bestFit="1" customWidth="1"/>
    <col min="9493" max="9493" width="10.5703125" style="28" customWidth="1"/>
    <col min="9494" max="9728" width="9.140625" style="28"/>
    <col min="9729" max="9736" width="0" style="28" hidden="1" customWidth="1"/>
    <col min="9737" max="9737" width="6" style="28" customWidth="1"/>
    <col min="9738" max="9738" width="59.85546875" style="28" customWidth="1"/>
    <col min="9739" max="9741" width="0" style="28" hidden="1" customWidth="1"/>
    <col min="9742" max="9743" width="9.85546875" style="28" customWidth="1"/>
    <col min="9744" max="9744" width="10.5703125" style="28" customWidth="1"/>
    <col min="9745" max="9747" width="0" style="28" hidden="1" customWidth="1"/>
    <col min="9748" max="9748" width="7.5703125" style="28" bestFit="1" customWidth="1"/>
    <col min="9749" max="9749" width="10.5703125" style="28" customWidth="1"/>
    <col min="9750" max="9984" width="9.140625" style="28"/>
    <col min="9985" max="9992" width="0" style="28" hidden="1" customWidth="1"/>
    <col min="9993" max="9993" width="6" style="28" customWidth="1"/>
    <col min="9994" max="9994" width="59.85546875" style="28" customWidth="1"/>
    <col min="9995" max="9997" width="0" style="28" hidden="1" customWidth="1"/>
    <col min="9998" max="9999" width="9.85546875" style="28" customWidth="1"/>
    <col min="10000" max="10000" width="10.5703125" style="28" customWidth="1"/>
    <col min="10001" max="10003" width="0" style="28" hidden="1" customWidth="1"/>
    <col min="10004" max="10004" width="7.5703125" style="28" bestFit="1" customWidth="1"/>
    <col min="10005" max="10005" width="10.5703125" style="28" customWidth="1"/>
    <col min="10006" max="10240" width="9.140625" style="28"/>
    <col min="10241" max="10248" width="0" style="28" hidden="1" customWidth="1"/>
    <col min="10249" max="10249" width="6" style="28" customWidth="1"/>
    <col min="10250" max="10250" width="59.85546875" style="28" customWidth="1"/>
    <col min="10251" max="10253" width="0" style="28" hidden="1" customWidth="1"/>
    <col min="10254" max="10255" width="9.85546875" style="28" customWidth="1"/>
    <col min="10256" max="10256" width="10.5703125" style="28" customWidth="1"/>
    <col min="10257" max="10259" width="0" style="28" hidden="1" customWidth="1"/>
    <col min="10260" max="10260" width="7.5703125" style="28" bestFit="1" customWidth="1"/>
    <col min="10261" max="10261" width="10.5703125" style="28" customWidth="1"/>
    <col min="10262" max="10496" width="9.140625" style="28"/>
    <col min="10497" max="10504" width="0" style="28" hidden="1" customWidth="1"/>
    <col min="10505" max="10505" width="6" style="28" customWidth="1"/>
    <col min="10506" max="10506" width="59.85546875" style="28" customWidth="1"/>
    <col min="10507" max="10509" width="0" style="28" hidden="1" customWidth="1"/>
    <col min="10510" max="10511" width="9.85546875" style="28" customWidth="1"/>
    <col min="10512" max="10512" width="10.5703125" style="28" customWidth="1"/>
    <col min="10513" max="10515" width="0" style="28" hidden="1" customWidth="1"/>
    <col min="10516" max="10516" width="7.5703125" style="28" bestFit="1" customWidth="1"/>
    <col min="10517" max="10517" width="10.5703125" style="28" customWidth="1"/>
    <col min="10518" max="10752" width="9.140625" style="28"/>
    <col min="10753" max="10760" width="0" style="28" hidden="1" customWidth="1"/>
    <col min="10761" max="10761" width="6" style="28" customWidth="1"/>
    <col min="10762" max="10762" width="59.85546875" style="28" customWidth="1"/>
    <col min="10763" max="10765" width="0" style="28" hidden="1" customWidth="1"/>
    <col min="10766" max="10767" width="9.85546875" style="28" customWidth="1"/>
    <col min="10768" max="10768" width="10.5703125" style="28" customWidth="1"/>
    <col min="10769" max="10771" width="0" style="28" hidden="1" customWidth="1"/>
    <col min="10772" max="10772" width="7.5703125" style="28" bestFit="1" customWidth="1"/>
    <col min="10773" max="10773" width="10.5703125" style="28" customWidth="1"/>
    <col min="10774" max="11008" width="9.140625" style="28"/>
    <col min="11009" max="11016" width="0" style="28" hidden="1" customWidth="1"/>
    <col min="11017" max="11017" width="6" style="28" customWidth="1"/>
    <col min="11018" max="11018" width="59.85546875" style="28" customWidth="1"/>
    <col min="11019" max="11021" width="0" style="28" hidden="1" customWidth="1"/>
    <col min="11022" max="11023" width="9.85546875" style="28" customWidth="1"/>
    <col min="11024" max="11024" width="10.5703125" style="28" customWidth="1"/>
    <col min="11025" max="11027" width="0" style="28" hidden="1" customWidth="1"/>
    <col min="11028" max="11028" width="7.5703125" style="28" bestFit="1" customWidth="1"/>
    <col min="11029" max="11029" width="10.5703125" style="28" customWidth="1"/>
    <col min="11030" max="11264" width="9.140625" style="28"/>
    <col min="11265" max="11272" width="0" style="28" hidden="1" customWidth="1"/>
    <col min="11273" max="11273" width="6" style="28" customWidth="1"/>
    <col min="11274" max="11274" width="59.85546875" style="28" customWidth="1"/>
    <col min="11275" max="11277" width="0" style="28" hidden="1" customWidth="1"/>
    <col min="11278" max="11279" width="9.85546875" style="28" customWidth="1"/>
    <col min="11280" max="11280" width="10.5703125" style="28" customWidth="1"/>
    <col min="11281" max="11283" width="0" style="28" hidden="1" customWidth="1"/>
    <col min="11284" max="11284" width="7.5703125" style="28" bestFit="1" customWidth="1"/>
    <col min="11285" max="11285" width="10.5703125" style="28" customWidth="1"/>
    <col min="11286" max="11520" width="9.140625" style="28"/>
    <col min="11521" max="11528" width="0" style="28" hidden="1" customWidth="1"/>
    <col min="11529" max="11529" width="6" style="28" customWidth="1"/>
    <col min="11530" max="11530" width="59.85546875" style="28" customWidth="1"/>
    <col min="11531" max="11533" width="0" style="28" hidden="1" customWidth="1"/>
    <col min="11534" max="11535" width="9.85546875" style="28" customWidth="1"/>
    <col min="11536" max="11536" width="10.5703125" style="28" customWidth="1"/>
    <col min="11537" max="11539" width="0" style="28" hidden="1" customWidth="1"/>
    <col min="11540" max="11540" width="7.5703125" style="28" bestFit="1" customWidth="1"/>
    <col min="11541" max="11541" width="10.5703125" style="28" customWidth="1"/>
    <col min="11542" max="11776" width="9.140625" style="28"/>
    <col min="11777" max="11784" width="0" style="28" hidden="1" customWidth="1"/>
    <col min="11785" max="11785" width="6" style="28" customWidth="1"/>
    <col min="11786" max="11786" width="59.85546875" style="28" customWidth="1"/>
    <col min="11787" max="11789" width="0" style="28" hidden="1" customWidth="1"/>
    <col min="11790" max="11791" width="9.85546875" style="28" customWidth="1"/>
    <col min="11792" max="11792" width="10.5703125" style="28" customWidth="1"/>
    <col min="11793" max="11795" width="0" style="28" hidden="1" customWidth="1"/>
    <col min="11796" max="11796" width="7.5703125" style="28" bestFit="1" customWidth="1"/>
    <col min="11797" max="11797" width="10.5703125" style="28" customWidth="1"/>
    <col min="11798" max="12032" width="9.140625" style="28"/>
    <col min="12033" max="12040" width="0" style="28" hidden="1" customWidth="1"/>
    <col min="12041" max="12041" width="6" style="28" customWidth="1"/>
    <col min="12042" max="12042" width="59.85546875" style="28" customWidth="1"/>
    <col min="12043" max="12045" width="0" style="28" hidden="1" customWidth="1"/>
    <col min="12046" max="12047" width="9.85546875" style="28" customWidth="1"/>
    <col min="12048" max="12048" width="10.5703125" style="28" customWidth="1"/>
    <col min="12049" max="12051" width="0" style="28" hidden="1" customWidth="1"/>
    <col min="12052" max="12052" width="7.5703125" style="28" bestFit="1" customWidth="1"/>
    <col min="12053" max="12053" width="10.5703125" style="28" customWidth="1"/>
    <col min="12054" max="12288" width="9.140625" style="28"/>
    <col min="12289" max="12296" width="0" style="28" hidden="1" customWidth="1"/>
    <col min="12297" max="12297" width="6" style="28" customWidth="1"/>
    <col min="12298" max="12298" width="59.85546875" style="28" customWidth="1"/>
    <col min="12299" max="12301" width="0" style="28" hidden="1" customWidth="1"/>
    <col min="12302" max="12303" width="9.85546875" style="28" customWidth="1"/>
    <col min="12304" max="12304" width="10.5703125" style="28" customWidth="1"/>
    <col min="12305" max="12307" width="0" style="28" hidden="1" customWidth="1"/>
    <col min="12308" max="12308" width="7.5703125" style="28" bestFit="1" customWidth="1"/>
    <col min="12309" max="12309" width="10.5703125" style="28" customWidth="1"/>
    <col min="12310" max="12544" width="9.140625" style="28"/>
    <col min="12545" max="12552" width="0" style="28" hidden="1" customWidth="1"/>
    <col min="12553" max="12553" width="6" style="28" customWidth="1"/>
    <col min="12554" max="12554" width="59.85546875" style="28" customWidth="1"/>
    <col min="12555" max="12557" width="0" style="28" hidden="1" customWidth="1"/>
    <col min="12558" max="12559" width="9.85546875" style="28" customWidth="1"/>
    <col min="12560" max="12560" width="10.5703125" style="28" customWidth="1"/>
    <col min="12561" max="12563" width="0" style="28" hidden="1" customWidth="1"/>
    <col min="12564" max="12564" width="7.5703125" style="28" bestFit="1" customWidth="1"/>
    <col min="12565" max="12565" width="10.5703125" style="28" customWidth="1"/>
    <col min="12566" max="12800" width="9.140625" style="28"/>
    <col min="12801" max="12808" width="0" style="28" hidden="1" customWidth="1"/>
    <col min="12809" max="12809" width="6" style="28" customWidth="1"/>
    <col min="12810" max="12810" width="59.85546875" style="28" customWidth="1"/>
    <col min="12811" max="12813" width="0" style="28" hidden="1" customWidth="1"/>
    <col min="12814" max="12815" width="9.85546875" style="28" customWidth="1"/>
    <col min="12816" max="12816" width="10.5703125" style="28" customWidth="1"/>
    <col min="12817" max="12819" width="0" style="28" hidden="1" customWidth="1"/>
    <col min="12820" max="12820" width="7.5703125" style="28" bestFit="1" customWidth="1"/>
    <col min="12821" max="12821" width="10.5703125" style="28" customWidth="1"/>
    <col min="12822" max="13056" width="9.140625" style="28"/>
    <col min="13057" max="13064" width="0" style="28" hidden="1" customWidth="1"/>
    <col min="13065" max="13065" width="6" style="28" customWidth="1"/>
    <col min="13066" max="13066" width="59.85546875" style="28" customWidth="1"/>
    <col min="13067" max="13069" width="0" style="28" hidden="1" customWidth="1"/>
    <col min="13070" max="13071" width="9.85546875" style="28" customWidth="1"/>
    <col min="13072" max="13072" width="10.5703125" style="28" customWidth="1"/>
    <col min="13073" max="13075" width="0" style="28" hidden="1" customWidth="1"/>
    <col min="13076" max="13076" width="7.5703125" style="28" bestFit="1" customWidth="1"/>
    <col min="13077" max="13077" width="10.5703125" style="28" customWidth="1"/>
    <col min="13078" max="13312" width="9.140625" style="28"/>
    <col min="13313" max="13320" width="0" style="28" hidden="1" customWidth="1"/>
    <col min="13321" max="13321" width="6" style="28" customWidth="1"/>
    <col min="13322" max="13322" width="59.85546875" style="28" customWidth="1"/>
    <col min="13323" max="13325" width="0" style="28" hidden="1" customWidth="1"/>
    <col min="13326" max="13327" width="9.85546875" style="28" customWidth="1"/>
    <col min="13328" max="13328" width="10.5703125" style="28" customWidth="1"/>
    <col min="13329" max="13331" width="0" style="28" hidden="1" customWidth="1"/>
    <col min="13332" max="13332" width="7.5703125" style="28" bestFit="1" customWidth="1"/>
    <col min="13333" max="13333" width="10.5703125" style="28" customWidth="1"/>
    <col min="13334" max="13568" width="9.140625" style="28"/>
    <col min="13569" max="13576" width="0" style="28" hidden="1" customWidth="1"/>
    <col min="13577" max="13577" width="6" style="28" customWidth="1"/>
    <col min="13578" max="13578" width="59.85546875" style="28" customWidth="1"/>
    <col min="13579" max="13581" width="0" style="28" hidden="1" customWidth="1"/>
    <col min="13582" max="13583" width="9.85546875" style="28" customWidth="1"/>
    <col min="13584" max="13584" width="10.5703125" style="28" customWidth="1"/>
    <col min="13585" max="13587" width="0" style="28" hidden="1" customWidth="1"/>
    <col min="13588" max="13588" width="7.5703125" style="28" bestFit="1" customWidth="1"/>
    <col min="13589" max="13589" width="10.5703125" style="28" customWidth="1"/>
    <col min="13590" max="13824" width="9.140625" style="28"/>
    <col min="13825" max="13832" width="0" style="28" hidden="1" customWidth="1"/>
    <col min="13833" max="13833" width="6" style="28" customWidth="1"/>
    <col min="13834" max="13834" width="59.85546875" style="28" customWidth="1"/>
    <col min="13835" max="13837" width="0" style="28" hidden="1" customWidth="1"/>
    <col min="13838" max="13839" width="9.85546875" style="28" customWidth="1"/>
    <col min="13840" max="13840" width="10.5703125" style="28" customWidth="1"/>
    <col min="13841" max="13843" width="0" style="28" hidden="1" customWidth="1"/>
    <col min="13844" max="13844" width="7.5703125" style="28" bestFit="1" customWidth="1"/>
    <col min="13845" max="13845" width="10.5703125" style="28" customWidth="1"/>
    <col min="13846" max="14080" width="9.140625" style="28"/>
    <col min="14081" max="14088" width="0" style="28" hidden="1" customWidth="1"/>
    <col min="14089" max="14089" width="6" style="28" customWidth="1"/>
    <col min="14090" max="14090" width="59.85546875" style="28" customWidth="1"/>
    <col min="14091" max="14093" width="0" style="28" hidden="1" customWidth="1"/>
    <col min="14094" max="14095" width="9.85546875" style="28" customWidth="1"/>
    <col min="14096" max="14096" width="10.5703125" style="28" customWidth="1"/>
    <col min="14097" max="14099" width="0" style="28" hidden="1" customWidth="1"/>
    <col min="14100" max="14100" width="7.5703125" style="28" bestFit="1" customWidth="1"/>
    <col min="14101" max="14101" width="10.5703125" style="28" customWidth="1"/>
    <col min="14102" max="14336" width="9.140625" style="28"/>
    <col min="14337" max="14344" width="0" style="28" hidden="1" customWidth="1"/>
    <col min="14345" max="14345" width="6" style="28" customWidth="1"/>
    <col min="14346" max="14346" width="59.85546875" style="28" customWidth="1"/>
    <col min="14347" max="14349" width="0" style="28" hidden="1" customWidth="1"/>
    <col min="14350" max="14351" width="9.85546875" style="28" customWidth="1"/>
    <col min="14352" max="14352" width="10.5703125" style="28" customWidth="1"/>
    <col min="14353" max="14355" width="0" style="28" hidden="1" customWidth="1"/>
    <col min="14356" max="14356" width="7.5703125" style="28" bestFit="1" customWidth="1"/>
    <col min="14357" max="14357" width="10.5703125" style="28" customWidth="1"/>
    <col min="14358" max="14592" width="9.140625" style="28"/>
    <col min="14593" max="14600" width="0" style="28" hidden="1" customWidth="1"/>
    <col min="14601" max="14601" width="6" style="28" customWidth="1"/>
    <col min="14602" max="14602" width="59.85546875" style="28" customWidth="1"/>
    <col min="14603" max="14605" width="0" style="28" hidden="1" customWidth="1"/>
    <col min="14606" max="14607" width="9.85546875" style="28" customWidth="1"/>
    <col min="14608" max="14608" width="10.5703125" style="28" customWidth="1"/>
    <col min="14609" max="14611" width="0" style="28" hidden="1" customWidth="1"/>
    <col min="14612" max="14612" width="7.5703125" style="28" bestFit="1" customWidth="1"/>
    <col min="14613" max="14613" width="10.5703125" style="28" customWidth="1"/>
    <col min="14614" max="14848" width="9.140625" style="28"/>
    <col min="14849" max="14856" width="0" style="28" hidden="1" customWidth="1"/>
    <col min="14857" max="14857" width="6" style="28" customWidth="1"/>
    <col min="14858" max="14858" width="59.85546875" style="28" customWidth="1"/>
    <col min="14859" max="14861" width="0" style="28" hidden="1" customWidth="1"/>
    <col min="14862" max="14863" width="9.85546875" style="28" customWidth="1"/>
    <col min="14864" max="14864" width="10.5703125" style="28" customWidth="1"/>
    <col min="14865" max="14867" width="0" style="28" hidden="1" customWidth="1"/>
    <col min="14868" max="14868" width="7.5703125" style="28" bestFit="1" customWidth="1"/>
    <col min="14869" max="14869" width="10.5703125" style="28" customWidth="1"/>
    <col min="14870" max="15104" width="9.140625" style="28"/>
    <col min="15105" max="15112" width="0" style="28" hidden="1" customWidth="1"/>
    <col min="15113" max="15113" width="6" style="28" customWidth="1"/>
    <col min="15114" max="15114" width="59.85546875" style="28" customWidth="1"/>
    <col min="15115" max="15117" width="0" style="28" hidden="1" customWidth="1"/>
    <col min="15118" max="15119" width="9.85546875" style="28" customWidth="1"/>
    <col min="15120" max="15120" width="10.5703125" style="28" customWidth="1"/>
    <col min="15121" max="15123" width="0" style="28" hidden="1" customWidth="1"/>
    <col min="15124" max="15124" width="7.5703125" style="28" bestFit="1" customWidth="1"/>
    <col min="15125" max="15125" width="10.5703125" style="28" customWidth="1"/>
    <col min="15126" max="15360" width="9.140625" style="28"/>
    <col min="15361" max="15368" width="0" style="28" hidden="1" customWidth="1"/>
    <col min="15369" max="15369" width="6" style="28" customWidth="1"/>
    <col min="15370" max="15370" width="59.85546875" style="28" customWidth="1"/>
    <col min="15371" max="15373" width="0" style="28" hidden="1" customWidth="1"/>
    <col min="15374" max="15375" width="9.85546875" style="28" customWidth="1"/>
    <col min="15376" max="15376" width="10.5703125" style="28" customWidth="1"/>
    <col min="15377" max="15379" width="0" style="28" hidden="1" customWidth="1"/>
    <col min="15380" max="15380" width="7.5703125" style="28" bestFit="1" customWidth="1"/>
    <col min="15381" max="15381" width="10.5703125" style="28" customWidth="1"/>
    <col min="15382" max="15616" width="9.140625" style="28"/>
    <col min="15617" max="15624" width="0" style="28" hidden="1" customWidth="1"/>
    <col min="15625" max="15625" width="6" style="28" customWidth="1"/>
    <col min="15626" max="15626" width="59.85546875" style="28" customWidth="1"/>
    <col min="15627" max="15629" width="0" style="28" hidden="1" customWidth="1"/>
    <col min="15630" max="15631" width="9.85546875" style="28" customWidth="1"/>
    <col min="15632" max="15632" width="10.5703125" style="28" customWidth="1"/>
    <col min="15633" max="15635" width="0" style="28" hidden="1" customWidth="1"/>
    <col min="15636" max="15636" width="7.5703125" style="28" bestFit="1" customWidth="1"/>
    <col min="15637" max="15637" width="10.5703125" style="28" customWidth="1"/>
    <col min="15638" max="15872" width="9.140625" style="28"/>
    <col min="15873" max="15880" width="0" style="28" hidden="1" customWidth="1"/>
    <col min="15881" max="15881" width="6" style="28" customWidth="1"/>
    <col min="15882" max="15882" width="59.85546875" style="28" customWidth="1"/>
    <col min="15883" max="15885" width="0" style="28" hidden="1" customWidth="1"/>
    <col min="15886" max="15887" width="9.85546875" style="28" customWidth="1"/>
    <col min="15888" max="15888" width="10.5703125" style="28" customWidth="1"/>
    <col min="15889" max="15891" width="0" style="28" hidden="1" customWidth="1"/>
    <col min="15892" max="15892" width="7.5703125" style="28" bestFit="1" customWidth="1"/>
    <col min="15893" max="15893" width="10.5703125" style="28" customWidth="1"/>
    <col min="15894" max="16128" width="9.140625" style="28"/>
    <col min="16129" max="16136" width="0" style="28" hidden="1" customWidth="1"/>
    <col min="16137" max="16137" width="6" style="28" customWidth="1"/>
    <col min="16138" max="16138" width="59.85546875" style="28" customWidth="1"/>
    <col min="16139" max="16141" width="0" style="28" hidden="1" customWidth="1"/>
    <col min="16142" max="16143" width="9.85546875" style="28" customWidth="1"/>
    <col min="16144" max="16144" width="10.5703125" style="28" customWidth="1"/>
    <col min="16145" max="16147" width="0" style="28" hidden="1" customWidth="1"/>
    <col min="16148" max="16148" width="7.5703125" style="28" bestFit="1" customWidth="1"/>
    <col min="16149" max="16149" width="10.5703125" style="28" customWidth="1"/>
    <col min="16150" max="16384" width="9.140625" style="28"/>
  </cols>
  <sheetData>
    <row r="1" spans="1:19" ht="33.75" customHeight="1" x14ac:dyDescent="0.3">
      <c r="A1" s="57"/>
      <c r="B1" s="57"/>
      <c r="C1" s="78"/>
      <c r="D1" s="78"/>
      <c r="E1" s="78"/>
      <c r="F1" s="152"/>
      <c r="G1" s="78"/>
      <c r="H1" s="78"/>
      <c r="I1" s="257" t="s">
        <v>1141</v>
      </c>
      <c r="J1" s="257"/>
      <c r="K1" s="257"/>
      <c r="L1" s="257"/>
      <c r="M1" s="257"/>
      <c r="N1" s="257"/>
      <c r="O1" s="257"/>
      <c r="P1" s="257"/>
      <c r="Q1" s="152"/>
      <c r="R1" s="78"/>
      <c r="S1" s="78"/>
    </row>
    <row r="2" spans="1:19" ht="17.25" customHeight="1" x14ac:dyDescent="0.3">
      <c r="A2" s="235" t="s">
        <v>763</v>
      </c>
      <c r="B2" s="235"/>
      <c r="C2" s="235"/>
      <c r="D2" s="235"/>
      <c r="E2" s="235"/>
      <c r="F2" s="235"/>
      <c r="G2" s="235"/>
      <c r="H2" s="235"/>
      <c r="I2" s="235"/>
      <c r="J2" s="235"/>
      <c r="K2" s="235"/>
      <c r="L2" s="235"/>
      <c r="M2" s="235"/>
      <c r="N2" s="235"/>
      <c r="O2" s="235"/>
      <c r="P2" s="235"/>
      <c r="Q2" s="226" t="s">
        <v>892</v>
      </c>
      <c r="R2" s="226"/>
      <c r="S2" s="227"/>
    </row>
    <row r="3" spans="1:19" s="30" customFormat="1" ht="15.75" customHeight="1" x14ac:dyDescent="0.25">
      <c r="A3" s="84" t="s">
        <v>0</v>
      </c>
      <c r="B3" s="153" t="s">
        <v>1</v>
      </c>
      <c r="C3" s="258" t="s">
        <v>2</v>
      </c>
      <c r="D3" s="259"/>
      <c r="E3" s="260"/>
      <c r="F3" s="258" t="s">
        <v>2</v>
      </c>
      <c r="G3" s="259"/>
      <c r="H3" s="260"/>
      <c r="I3" s="216" t="s">
        <v>0</v>
      </c>
      <c r="J3" s="216" t="s">
        <v>1</v>
      </c>
      <c r="K3" s="216" t="s">
        <v>2</v>
      </c>
      <c r="L3" s="216"/>
      <c r="M3" s="216"/>
      <c r="N3" s="216" t="s">
        <v>942</v>
      </c>
      <c r="O3" s="216"/>
      <c r="P3" s="216"/>
      <c r="Q3" s="225" t="s">
        <v>893</v>
      </c>
      <c r="R3" s="226"/>
      <c r="S3" s="227"/>
    </row>
    <row r="4" spans="1:19" s="30" customFormat="1" ht="17.25" customHeight="1" x14ac:dyDescent="0.25">
      <c r="A4" s="60"/>
      <c r="B4" s="154"/>
      <c r="C4" s="60" t="s">
        <v>4</v>
      </c>
      <c r="D4" s="60" t="s">
        <v>3</v>
      </c>
      <c r="E4" s="60" t="s">
        <v>5</v>
      </c>
      <c r="F4" s="60" t="s">
        <v>4</v>
      </c>
      <c r="G4" s="60" t="s">
        <v>3</v>
      </c>
      <c r="H4" s="60" t="s">
        <v>5</v>
      </c>
      <c r="I4" s="216"/>
      <c r="J4" s="216"/>
      <c r="K4" s="60" t="s">
        <v>4</v>
      </c>
      <c r="L4" s="60" t="s">
        <v>3</v>
      </c>
      <c r="M4" s="60" t="s">
        <v>5</v>
      </c>
      <c r="N4" s="60" t="s">
        <v>4</v>
      </c>
      <c r="O4" s="60" t="s">
        <v>3</v>
      </c>
      <c r="P4" s="60" t="s">
        <v>5</v>
      </c>
      <c r="Q4" s="60" t="s">
        <v>4</v>
      </c>
      <c r="R4" s="60" t="s">
        <v>3</v>
      </c>
      <c r="S4" s="60" t="s">
        <v>5</v>
      </c>
    </row>
    <row r="5" spans="1:19" s="30" customFormat="1" ht="24.75" customHeight="1" x14ac:dyDescent="0.25">
      <c r="A5" s="60"/>
      <c r="B5" s="62" t="s">
        <v>894</v>
      </c>
      <c r="C5" s="155"/>
      <c r="D5" s="60"/>
      <c r="E5" s="60"/>
      <c r="F5" s="60"/>
      <c r="G5" s="60"/>
      <c r="H5" s="60"/>
      <c r="I5" s="60"/>
      <c r="J5" s="62" t="s">
        <v>894</v>
      </c>
      <c r="K5" s="60"/>
      <c r="L5" s="60"/>
      <c r="M5" s="60"/>
      <c r="N5" s="60"/>
      <c r="O5" s="60"/>
      <c r="P5" s="60"/>
      <c r="Q5" s="60"/>
      <c r="R5" s="60"/>
      <c r="S5" s="60"/>
    </row>
    <row r="6" spans="1:19" s="30" customFormat="1" ht="24.75" customHeight="1" x14ac:dyDescent="0.25">
      <c r="A6" s="64">
        <v>1</v>
      </c>
      <c r="B6" s="66" t="s">
        <v>549</v>
      </c>
      <c r="C6" s="87">
        <v>3500</v>
      </c>
      <c r="D6" s="91"/>
      <c r="E6" s="91"/>
      <c r="F6" s="73">
        <f>C6*70%</f>
        <v>2450</v>
      </c>
      <c r="G6" s="73"/>
      <c r="H6" s="73"/>
      <c r="I6" s="156" t="s">
        <v>8</v>
      </c>
      <c r="J6" s="66" t="s">
        <v>549</v>
      </c>
      <c r="K6" s="73">
        <f>C6*1.1</f>
        <v>3850.0000000000005</v>
      </c>
      <c r="L6" s="73"/>
      <c r="M6" s="73"/>
      <c r="N6" s="73">
        <f>K6*70%</f>
        <v>2695</v>
      </c>
      <c r="O6" s="73"/>
      <c r="P6" s="73"/>
      <c r="Q6" s="73">
        <f>N6/F6*100-100</f>
        <v>10.000000000000014</v>
      </c>
      <c r="R6" s="73"/>
      <c r="S6" s="73"/>
    </row>
    <row r="7" spans="1:19" s="30" customFormat="1" ht="24.75" customHeight="1" x14ac:dyDescent="0.25">
      <c r="A7" s="64">
        <v>2</v>
      </c>
      <c r="B7" s="66" t="s">
        <v>550</v>
      </c>
      <c r="C7" s="87">
        <v>3000</v>
      </c>
      <c r="D7" s="157"/>
      <c r="E7" s="157"/>
      <c r="F7" s="73">
        <f t="shared" ref="F7:F32" si="0">C7*70%</f>
        <v>2100</v>
      </c>
      <c r="G7" s="73"/>
      <c r="H7" s="73"/>
      <c r="I7" s="156" t="s">
        <v>9</v>
      </c>
      <c r="J7" s="66" t="s">
        <v>550</v>
      </c>
      <c r="K7" s="73">
        <f>C7*1.1</f>
        <v>3300.0000000000005</v>
      </c>
      <c r="L7" s="158"/>
      <c r="M7" s="158"/>
      <c r="N7" s="73">
        <f t="shared" ref="N7:P70" si="1">K7*70%</f>
        <v>2310</v>
      </c>
      <c r="O7" s="73"/>
      <c r="P7" s="73"/>
      <c r="Q7" s="73">
        <f t="shared" ref="Q7:S70" si="2">N7/F7*100-100</f>
        <v>10.000000000000014</v>
      </c>
      <c r="R7" s="73"/>
      <c r="S7" s="73"/>
    </row>
    <row r="8" spans="1:19" s="30" customFormat="1" ht="43.5" customHeight="1" x14ac:dyDescent="0.25">
      <c r="A8" s="64">
        <v>3</v>
      </c>
      <c r="B8" s="66" t="s">
        <v>551</v>
      </c>
      <c r="C8" s="87">
        <v>3000</v>
      </c>
      <c r="D8" s="159"/>
      <c r="E8" s="160"/>
      <c r="F8" s="73">
        <f t="shared" si="0"/>
        <v>2100</v>
      </c>
      <c r="G8" s="73"/>
      <c r="H8" s="73"/>
      <c r="I8" s="156" t="s">
        <v>61</v>
      </c>
      <c r="J8" s="66" t="s">
        <v>551</v>
      </c>
      <c r="K8" s="73">
        <f>C8*1.1</f>
        <v>3300.0000000000005</v>
      </c>
      <c r="L8" s="63"/>
      <c r="M8" s="161"/>
      <c r="N8" s="73">
        <f t="shared" si="1"/>
        <v>2310</v>
      </c>
      <c r="O8" s="73"/>
      <c r="P8" s="73"/>
      <c r="Q8" s="73">
        <f t="shared" si="2"/>
        <v>10.000000000000014</v>
      </c>
      <c r="R8" s="73"/>
      <c r="S8" s="73"/>
    </row>
    <row r="9" spans="1:19" s="30" customFormat="1" ht="45.75" customHeight="1" x14ac:dyDescent="0.25">
      <c r="A9" s="64">
        <v>4</v>
      </c>
      <c r="B9" s="66" t="s">
        <v>552</v>
      </c>
      <c r="C9" s="87">
        <v>2500</v>
      </c>
      <c r="D9" s="91"/>
      <c r="E9" s="91"/>
      <c r="F9" s="73">
        <f t="shared" si="0"/>
        <v>1750</v>
      </c>
      <c r="G9" s="73"/>
      <c r="H9" s="73"/>
      <c r="I9" s="156" t="s">
        <v>62</v>
      </c>
      <c r="J9" s="86" t="s">
        <v>553</v>
      </c>
      <c r="K9" s="73">
        <v>3000</v>
      </c>
      <c r="L9" s="64"/>
      <c r="M9" s="64"/>
      <c r="N9" s="73">
        <f t="shared" si="1"/>
        <v>2100</v>
      </c>
      <c r="O9" s="73"/>
      <c r="P9" s="73"/>
      <c r="Q9" s="73">
        <f t="shared" si="2"/>
        <v>20</v>
      </c>
      <c r="R9" s="73"/>
      <c r="S9" s="73"/>
    </row>
    <row r="10" spans="1:19" s="30" customFormat="1" ht="49.5" customHeight="1" x14ac:dyDescent="0.25">
      <c r="A10" s="64">
        <v>5</v>
      </c>
      <c r="B10" s="66" t="s">
        <v>554</v>
      </c>
      <c r="C10" s="87">
        <v>1500</v>
      </c>
      <c r="D10" s="157"/>
      <c r="E10" s="157"/>
      <c r="F10" s="73">
        <f t="shared" si="0"/>
        <v>1050</v>
      </c>
      <c r="G10" s="73"/>
      <c r="H10" s="73"/>
      <c r="I10" s="156" t="s">
        <v>63</v>
      </c>
      <c r="J10" s="66" t="s">
        <v>895</v>
      </c>
      <c r="K10" s="73">
        <v>1800</v>
      </c>
      <c r="L10" s="158"/>
      <c r="M10" s="158"/>
      <c r="N10" s="73">
        <f t="shared" si="1"/>
        <v>1260</v>
      </c>
      <c r="O10" s="73"/>
      <c r="P10" s="73"/>
      <c r="Q10" s="73">
        <f t="shared" si="2"/>
        <v>20</v>
      </c>
      <c r="R10" s="73"/>
      <c r="S10" s="73"/>
    </row>
    <row r="11" spans="1:19" s="30" customFormat="1" ht="33" x14ac:dyDescent="0.25">
      <c r="A11" s="64"/>
      <c r="B11" s="66"/>
      <c r="C11" s="87"/>
      <c r="D11" s="157"/>
      <c r="E11" s="157"/>
      <c r="F11" s="73"/>
      <c r="G11" s="73"/>
      <c r="H11" s="73"/>
      <c r="I11" s="156" t="s">
        <v>64</v>
      </c>
      <c r="J11" s="66" t="s">
        <v>896</v>
      </c>
      <c r="K11" s="73">
        <v>1700</v>
      </c>
      <c r="L11" s="158"/>
      <c r="M11" s="158"/>
      <c r="N11" s="73">
        <f t="shared" si="1"/>
        <v>1190</v>
      </c>
      <c r="O11" s="73"/>
      <c r="P11" s="73"/>
      <c r="Q11" s="73"/>
      <c r="R11" s="73"/>
      <c r="S11" s="73"/>
    </row>
    <row r="12" spans="1:19" s="30" customFormat="1" ht="33" x14ac:dyDescent="0.25">
      <c r="A12" s="64"/>
      <c r="B12" s="66"/>
      <c r="C12" s="87"/>
      <c r="D12" s="157"/>
      <c r="E12" s="157"/>
      <c r="F12" s="73"/>
      <c r="G12" s="73"/>
      <c r="H12" s="73"/>
      <c r="I12" s="156" t="s">
        <v>65</v>
      </c>
      <c r="J12" s="66" t="s">
        <v>897</v>
      </c>
      <c r="K12" s="73">
        <v>2500</v>
      </c>
      <c r="L12" s="158"/>
      <c r="M12" s="158"/>
      <c r="N12" s="73">
        <f t="shared" si="1"/>
        <v>1750</v>
      </c>
      <c r="O12" s="73"/>
      <c r="P12" s="73"/>
      <c r="Q12" s="73"/>
      <c r="R12" s="73"/>
      <c r="S12" s="73"/>
    </row>
    <row r="13" spans="1:19" s="30" customFormat="1" ht="49.5" x14ac:dyDescent="0.25">
      <c r="A13" s="64"/>
      <c r="B13" s="66"/>
      <c r="C13" s="87"/>
      <c r="D13" s="157"/>
      <c r="E13" s="157"/>
      <c r="F13" s="73"/>
      <c r="G13" s="73"/>
      <c r="H13" s="73"/>
      <c r="I13" s="156" t="s">
        <v>67</v>
      </c>
      <c r="J13" s="66" t="s">
        <v>898</v>
      </c>
      <c r="K13" s="73">
        <v>2000</v>
      </c>
      <c r="L13" s="158"/>
      <c r="M13" s="158"/>
      <c r="N13" s="73">
        <f t="shared" si="1"/>
        <v>1400</v>
      </c>
      <c r="O13" s="73"/>
      <c r="P13" s="73"/>
      <c r="Q13" s="73"/>
      <c r="R13" s="73"/>
      <c r="S13" s="73"/>
    </row>
    <row r="14" spans="1:19" s="30" customFormat="1" ht="33" x14ac:dyDescent="0.25">
      <c r="A14" s="64"/>
      <c r="B14" s="66"/>
      <c r="C14" s="87"/>
      <c r="D14" s="157"/>
      <c r="E14" s="157"/>
      <c r="F14" s="73"/>
      <c r="G14" s="73"/>
      <c r="H14" s="73"/>
      <c r="I14" s="156" t="s">
        <v>69</v>
      </c>
      <c r="J14" s="66" t="s">
        <v>899</v>
      </c>
      <c r="K14" s="73">
        <v>3000</v>
      </c>
      <c r="L14" s="158"/>
      <c r="M14" s="158"/>
      <c r="N14" s="73">
        <f t="shared" si="1"/>
        <v>2100</v>
      </c>
      <c r="O14" s="73"/>
      <c r="P14" s="73"/>
      <c r="Q14" s="73"/>
      <c r="R14" s="73"/>
      <c r="S14" s="73"/>
    </row>
    <row r="15" spans="1:19" s="30" customFormat="1" ht="39.75" customHeight="1" x14ac:dyDescent="0.25">
      <c r="A15" s="64">
        <v>6</v>
      </c>
      <c r="B15" s="66" t="s">
        <v>555</v>
      </c>
      <c r="C15" s="87">
        <v>1200</v>
      </c>
      <c r="D15" s="91"/>
      <c r="E15" s="91"/>
      <c r="F15" s="73">
        <f t="shared" si="0"/>
        <v>840</v>
      </c>
      <c r="G15" s="73"/>
      <c r="H15" s="73"/>
      <c r="I15" s="156" t="s">
        <v>71</v>
      </c>
      <c r="J15" s="66" t="s">
        <v>555</v>
      </c>
      <c r="K15" s="73">
        <v>1440</v>
      </c>
      <c r="L15" s="64"/>
      <c r="M15" s="64"/>
      <c r="N15" s="73">
        <f t="shared" si="1"/>
        <v>1007.9999999999999</v>
      </c>
      <c r="O15" s="73"/>
      <c r="P15" s="73"/>
      <c r="Q15" s="73">
        <f t="shared" si="2"/>
        <v>20</v>
      </c>
      <c r="R15" s="73"/>
      <c r="S15" s="73"/>
    </row>
    <row r="16" spans="1:19" s="30" customFormat="1" ht="59.25" customHeight="1" x14ac:dyDescent="0.25">
      <c r="A16" s="64">
        <v>7</v>
      </c>
      <c r="B16" s="66" t="s">
        <v>556</v>
      </c>
      <c r="C16" s="85">
        <v>1200</v>
      </c>
      <c r="D16" s="162"/>
      <c r="E16" s="163"/>
      <c r="F16" s="73">
        <f t="shared" si="0"/>
        <v>840</v>
      </c>
      <c r="G16" s="73"/>
      <c r="H16" s="73"/>
      <c r="I16" s="156" t="s">
        <v>73</v>
      </c>
      <c r="J16" s="66" t="s">
        <v>557</v>
      </c>
      <c r="K16" s="73">
        <v>1440</v>
      </c>
      <c r="L16" s="63"/>
      <c r="M16" s="161"/>
      <c r="N16" s="73">
        <f t="shared" si="1"/>
        <v>1007.9999999999999</v>
      </c>
      <c r="O16" s="73"/>
      <c r="P16" s="73"/>
      <c r="Q16" s="73">
        <f t="shared" si="2"/>
        <v>20</v>
      </c>
      <c r="R16" s="73"/>
      <c r="S16" s="73"/>
    </row>
    <row r="17" spans="1:19" s="30" customFormat="1" ht="77.25" customHeight="1" x14ac:dyDescent="0.25">
      <c r="A17" s="64">
        <v>8</v>
      </c>
      <c r="B17" s="66" t="s">
        <v>558</v>
      </c>
      <c r="C17" s="85">
        <v>1200</v>
      </c>
      <c r="D17" s="162"/>
      <c r="E17" s="163"/>
      <c r="F17" s="73">
        <f t="shared" si="0"/>
        <v>840</v>
      </c>
      <c r="G17" s="73"/>
      <c r="H17" s="73"/>
      <c r="I17" s="156" t="s">
        <v>77</v>
      </c>
      <c r="J17" s="66" t="s">
        <v>900</v>
      </c>
      <c r="K17" s="73">
        <v>1440</v>
      </c>
      <c r="L17" s="63"/>
      <c r="M17" s="161"/>
      <c r="N17" s="73">
        <f t="shared" si="1"/>
        <v>1007.9999999999999</v>
      </c>
      <c r="O17" s="73"/>
      <c r="P17" s="73"/>
      <c r="Q17" s="73">
        <f t="shared" si="2"/>
        <v>20</v>
      </c>
      <c r="R17" s="73"/>
      <c r="S17" s="73"/>
    </row>
    <row r="18" spans="1:19" s="30" customFormat="1" ht="49.5" x14ac:dyDescent="0.25">
      <c r="A18" s="64"/>
      <c r="B18" s="66"/>
      <c r="C18" s="85"/>
      <c r="D18" s="162"/>
      <c r="E18" s="163"/>
      <c r="F18" s="73"/>
      <c r="G18" s="73"/>
      <c r="H18" s="73"/>
      <c r="I18" s="156" t="s">
        <v>80</v>
      </c>
      <c r="J18" s="66" t="s">
        <v>901</v>
      </c>
      <c r="K18" s="73">
        <v>1500</v>
      </c>
      <c r="L18" s="63"/>
      <c r="M18" s="161"/>
      <c r="N18" s="73">
        <f t="shared" si="1"/>
        <v>1050</v>
      </c>
      <c r="O18" s="73"/>
      <c r="P18" s="73"/>
      <c r="Q18" s="73"/>
      <c r="R18" s="73"/>
      <c r="S18" s="73"/>
    </row>
    <row r="19" spans="1:19" s="30" customFormat="1" ht="45" customHeight="1" x14ac:dyDescent="0.25">
      <c r="A19" s="64">
        <v>9</v>
      </c>
      <c r="B19" s="66" t="s">
        <v>559</v>
      </c>
      <c r="C19" s="85">
        <v>1000</v>
      </c>
      <c r="D19" s="164"/>
      <c r="E19" s="164"/>
      <c r="F19" s="73">
        <f t="shared" si="0"/>
        <v>700</v>
      </c>
      <c r="G19" s="73"/>
      <c r="H19" s="73"/>
      <c r="I19" s="156" t="s">
        <v>902</v>
      </c>
      <c r="J19" s="66" t="s">
        <v>559</v>
      </c>
      <c r="K19" s="73">
        <v>1300</v>
      </c>
      <c r="L19" s="158"/>
      <c r="M19" s="158"/>
      <c r="N19" s="73">
        <f t="shared" si="1"/>
        <v>909.99999999999989</v>
      </c>
      <c r="O19" s="73"/>
      <c r="P19" s="73"/>
      <c r="Q19" s="73">
        <f t="shared" si="2"/>
        <v>29.999999999999972</v>
      </c>
      <c r="R19" s="73"/>
      <c r="S19" s="73"/>
    </row>
    <row r="20" spans="1:19" s="30" customFormat="1" ht="36" customHeight="1" x14ac:dyDescent="0.25">
      <c r="A20" s="64">
        <v>10</v>
      </c>
      <c r="B20" s="66" t="s">
        <v>560</v>
      </c>
      <c r="C20" s="85">
        <v>800</v>
      </c>
      <c r="D20" s="162"/>
      <c r="E20" s="163"/>
      <c r="F20" s="73">
        <f t="shared" si="0"/>
        <v>560</v>
      </c>
      <c r="G20" s="73"/>
      <c r="H20" s="73"/>
      <c r="I20" s="156" t="s">
        <v>903</v>
      </c>
      <c r="J20" s="66" t="s">
        <v>560</v>
      </c>
      <c r="K20" s="73">
        <v>1204</v>
      </c>
      <c r="L20" s="63"/>
      <c r="M20" s="161"/>
      <c r="N20" s="73">
        <f>K20*70%</f>
        <v>842.8</v>
      </c>
      <c r="O20" s="73"/>
      <c r="P20" s="73"/>
      <c r="Q20" s="73">
        <f t="shared" si="2"/>
        <v>50.5</v>
      </c>
      <c r="R20" s="73"/>
      <c r="S20" s="73"/>
    </row>
    <row r="21" spans="1:19" s="30" customFormat="1" ht="47.25" customHeight="1" x14ac:dyDescent="0.25">
      <c r="A21" s="64">
        <v>11</v>
      </c>
      <c r="B21" s="66" t="s">
        <v>561</v>
      </c>
      <c r="C21" s="165">
        <v>900</v>
      </c>
      <c r="D21" s="86"/>
      <c r="E21" s="86"/>
      <c r="F21" s="73">
        <f t="shared" si="0"/>
        <v>630</v>
      </c>
      <c r="G21" s="73"/>
      <c r="H21" s="73"/>
      <c r="I21" s="156" t="s">
        <v>904</v>
      </c>
      <c r="J21" s="66" t="s">
        <v>905</v>
      </c>
      <c r="K21" s="166">
        <v>1050</v>
      </c>
      <c r="L21" s="64"/>
      <c r="M21" s="64"/>
      <c r="N21" s="73">
        <f t="shared" si="1"/>
        <v>735</v>
      </c>
      <c r="O21" s="73"/>
      <c r="P21" s="73"/>
      <c r="Q21" s="73">
        <f t="shared" si="2"/>
        <v>16.666666666666671</v>
      </c>
      <c r="R21" s="73"/>
      <c r="S21" s="73"/>
    </row>
    <row r="22" spans="1:19" s="30" customFormat="1" ht="33" x14ac:dyDescent="0.25">
      <c r="A22" s="64"/>
      <c r="B22" s="66"/>
      <c r="C22" s="165"/>
      <c r="D22" s="86"/>
      <c r="E22" s="86"/>
      <c r="F22" s="73"/>
      <c r="G22" s="73"/>
      <c r="H22" s="73"/>
      <c r="I22" s="156" t="s">
        <v>906</v>
      </c>
      <c r="J22" s="86" t="s">
        <v>907</v>
      </c>
      <c r="K22" s="64">
        <v>1000</v>
      </c>
      <c r="L22" s="64"/>
      <c r="M22" s="64"/>
      <c r="N22" s="73">
        <f t="shared" si="1"/>
        <v>700</v>
      </c>
      <c r="O22" s="73"/>
      <c r="P22" s="73"/>
      <c r="Q22" s="73"/>
      <c r="R22" s="73"/>
      <c r="S22" s="73"/>
    </row>
    <row r="23" spans="1:19" s="30" customFormat="1" ht="73.5" customHeight="1" x14ac:dyDescent="0.25">
      <c r="A23" s="64">
        <v>12</v>
      </c>
      <c r="B23" s="66" t="s">
        <v>562</v>
      </c>
      <c r="C23" s="165">
        <v>150</v>
      </c>
      <c r="D23" s="164"/>
      <c r="E23" s="164"/>
      <c r="F23" s="73">
        <f t="shared" si="0"/>
        <v>105</v>
      </c>
      <c r="G23" s="73"/>
      <c r="H23" s="73"/>
      <c r="I23" s="156" t="s">
        <v>908</v>
      </c>
      <c r="J23" s="66" t="s">
        <v>563</v>
      </c>
      <c r="K23" s="166">
        <v>200</v>
      </c>
      <c r="L23" s="158"/>
      <c r="M23" s="158"/>
      <c r="N23" s="73">
        <f t="shared" si="1"/>
        <v>140</v>
      </c>
      <c r="O23" s="73"/>
      <c r="P23" s="73"/>
      <c r="Q23" s="73">
        <f t="shared" si="2"/>
        <v>33.333333333333314</v>
      </c>
      <c r="R23" s="73"/>
      <c r="S23" s="73"/>
    </row>
    <row r="24" spans="1:19" s="30" customFormat="1" ht="82.5" customHeight="1" x14ac:dyDescent="0.25">
      <c r="A24" s="64">
        <v>13</v>
      </c>
      <c r="B24" s="66" t="s">
        <v>564</v>
      </c>
      <c r="C24" s="85">
        <v>200</v>
      </c>
      <c r="D24" s="164"/>
      <c r="E24" s="164"/>
      <c r="F24" s="73">
        <f t="shared" si="0"/>
        <v>140</v>
      </c>
      <c r="G24" s="73"/>
      <c r="H24" s="73"/>
      <c r="I24" s="156" t="s">
        <v>909</v>
      </c>
      <c r="J24" s="66" t="s">
        <v>565</v>
      </c>
      <c r="K24" s="166">
        <f>C24*1.3</f>
        <v>260</v>
      </c>
      <c r="L24" s="158"/>
      <c r="M24" s="158"/>
      <c r="N24" s="73">
        <f t="shared" si="1"/>
        <v>182</v>
      </c>
      <c r="O24" s="73"/>
      <c r="P24" s="73"/>
      <c r="Q24" s="73">
        <f t="shared" si="2"/>
        <v>30</v>
      </c>
      <c r="R24" s="73"/>
      <c r="S24" s="73"/>
    </row>
    <row r="25" spans="1:19" s="30" customFormat="1" ht="83.25" customHeight="1" x14ac:dyDescent="0.25">
      <c r="A25" s="64">
        <v>14</v>
      </c>
      <c r="B25" s="66" t="s">
        <v>566</v>
      </c>
      <c r="C25" s="85">
        <v>400</v>
      </c>
      <c r="D25" s="164"/>
      <c r="E25" s="164"/>
      <c r="F25" s="73">
        <f t="shared" si="0"/>
        <v>280</v>
      </c>
      <c r="G25" s="73"/>
      <c r="H25" s="73"/>
      <c r="I25" s="156" t="s">
        <v>910</v>
      </c>
      <c r="J25" s="66" t="s">
        <v>566</v>
      </c>
      <c r="K25" s="166">
        <f>C25*1.3</f>
        <v>520</v>
      </c>
      <c r="L25" s="158"/>
      <c r="M25" s="158"/>
      <c r="N25" s="73">
        <f t="shared" si="1"/>
        <v>364</v>
      </c>
      <c r="O25" s="73"/>
      <c r="P25" s="73"/>
      <c r="Q25" s="73">
        <f t="shared" si="2"/>
        <v>30</v>
      </c>
      <c r="R25" s="73"/>
      <c r="S25" s="73"/>
    </row>
    <row r="26" spans="1:19" s="30" customFormat="1" ht="90" customHeight="1" x14ac:dyDescent="0.25">
      <c r="A26" s="64">
        <v>15</v>
      </c>
      <c r="B26" s="66" t="s">
        <v>567</v>
      </c>
      <c r="C26" s="85">
        <v>800</v>
      </c>
      <c r="D26" s="164"/>
      <c r="E26" s="164"/>
      <c r="F26" s="73">
        <f t="shared" si="0"/>
        <v>560</v>
      </c>
      <c r="G26" s="73"/>
      <c r="H26" s="73"/>
      <c r="I26" s="156" t="s">
        <v>911</v>
      </c>
      <c r="J26" s="66" t="s">
        <v>567</v>
      </c>
      <c r="K26" s="166">
        <f>C26*1.2</f>
        <v>960</v>
      </c>
      <c r="L26" s="158"/>
      <c r="M26" s="158"/>
      <c r="N26" s="73">
        <f t="shared" si="1"/>
        <v>672</v>
      </c>
      <c r="O26" s="73"/>
      <c r="P26" s="73"/>
      <c r="Q26" s="73">
        <f t="shared" si="2"/>
        <v>20</v>
      </c>
      <c r="R26" s="73"/>
      <c r="S26" s="73"/>
    </row>
    <row r="27" spans="1:19" s="30" customFormat="1" ht="61.5" customHeight="1" x14ac:dyDescent="0.25">
      <c r="A27" s="64">
        <v>16</v>
      </c>
      <c r="B27" s="66" t="s">
        <v>568</v>
      </c>
      <c r="C27" s="85">
        <v>2000</v>
      </c>
      <c r="D27" s="164"/>
      <c r="E27" s="164"/>
      <c r="F27" s="73">
        <f t="shared" si="0"/>
        <v>1400</v>
      </c>
      <c r="G27" s="73"/>
      <c r="H27" s="73"/>
      <c r="I27" s="156" t="s">
        <v>912</v>
      </c>
      <c r="J27" s="66" t="s">
        <v>870</v>
      </c>
      <c r="K27" s="166">
        <f>C27*1.5</f>
        <v>3000</v>
      </c>
      <c r="L27" s="158"/>
      <c r="M27" s="158"/>
      <c r="N27" s="73">
        <f t="shared" si="1"/>
        <v>2100</v>
      </c>
      <c r="O27" s="73"/>
      <c r="P27" s="73"/>
      <c r="Q27" s="73">
        <f t="shared" si="2"/>
        <v>50</v>
      </c>
      <c r="R27" s="73"/>
      <c r="S27" s="73"/>
    </row>
    <row r="28" spans="1:19" s="30" customFormat="1" ht="33" x14ac:dyDescent="0.25">
      <c r="A28" s="64"/>
      <c r="B28" s="66"/>
      <c r="C28" s="85"/>
      <c r="D28" s="164"/>
      <c r="E28" s="164"/>
      <c r="F28" s="73"/>
      <c r="G28" s="73"/>
      <c r="H28" s="73"/>
      <c r="I28" s="156" t="s">
        <v>913</v>
      </c>
      <c r="J28" s="66" t="s">
        <v>871</v>
      </c>
      <c r="K28" s="166">
        <v>4000</v>
      </c>
      <c r="L28" s="158"/>
      <c r="M28" s="158"/>
      <c r="N28" s="73">
        <f t="shared" si="1"/>
        <v>2800</v>
      </c>
      <c r="O28" s="73"/>
      <c r="P28" s="73"/>
      <c r="Q28" s="73"/>
      <c r="R28" s="73"/>
      <c r="S28" s="73"/>
    </row>
    <row r="29" spans="1:19" s="30" customFormat="1" ht="66" customHeight="1" x14ac:dyDescent="0.25">
      <c r="A29" s="64">
        <v>17</v>
      </c>
      <c r="B29" s="66" t="s">
        <v>569</v>
      </c>
      <c r="C29" s="85">
        <v>1000</v>
      </c>
      <c r="D29" s="164"/>
      <c r="E29" s="164"/>
      <c r="F29" s="73">
        <f t="shared" si="0"/>
        <v>700</v>
      </c>
      <c r="G29" s="73"/>
      <c r="H29" s="73"/>
      <c r="I29" s="156" t="s">
        <v>914</v>
      </c>
      <c r="J29" s="66" t="s">
        <v>570</v>
      </c>
      <c r="K29" s="166">
        <f>C29*1.2</f>
        <v>1200</v>
      </c>
      <c r="L29" s="158"/>
      <c r="M29" s="158"/>
      <c r="N29" s="73">
        <f t="shared" si="1"/>
        <v>840</v>
      </c>
      <c r="O29" s="73"/>
      <c r="P29" s="73"/>
      <c r="Q29" s="73">
        <f t="shared" si="2"/>
        <v>20</v>
      </c>
      <c r="R29" s="73"/>
      <c r="S29" s="73"/>
    </row>
    <row r="30" spans="1:19" s="30" customFormat="1" ht="77.25" customHeight="1" x14ac:dyDescent="0.25">
      <c r="A30" s="64">
        <v>18</v>
      </c>
      <c r="B30" s="66" t="s">
        <v>571</v>
      </c>
      <c r="C30" s="85">
        <v>200</v>
      </c>
      <c r="D30" s="164"/>
      <c r="E30" s="164"/>
      <c r="F30" s="73">
        <f t="shared" si="0"/>
        <v>140</v>
      </c>
      <c r="G30" s="73"/>
      <c r="H30" s="73"/>
      <c r="I30" s="156" t="s">
        <v>915</v>
      </c>
      <c r="J30" s="66" t="s">
        <v>572</v>
      </c>
      <c r="K30" s="166">
        <f>C30*1.5</f>
        <v>300</v>
      </c>
      <c r="L30" s="158"/>
      <c r="M30" s="158"/>
      <c r="N30" s="73">
        <f t="shared" si="1"/>
        <v>210</v>
      </c>
      <c r="O30" s="73"/>
      <c r="P30" s="73"/>
      <c r="Q30" s="73">
        <f t="shared" si="2"/>
        <v>50</v>
      </c>
      <c r="R30" s="73"/>
      <c r="S30" s="73"/>
    </row>
    <row r="31" spans="1:19" s="30" customFormat="1" ht="68.25" customHeight="1" x14ac:dyDescent="0.25">
      <c r="A31" s="64">
        <v>19</v>
      </c>
      <c r="B31" s="66" t="s">
        <v>573</v>
      </c>
      <c r="C31" s="85">
        <v>150</v>
      </c>
      <c r="D31" s="164"/>
      <c r="E31" s="164"/>
      <c r="F31" s="73">
        <f t="shared" si="0"/>
        <v>105</v>
      </c>
      <c r="G31" s="73"/>
      <c r="H31" s="73"/>
      <c r="I31" s="156" t="s">
        <v>916</v>
      </c>
      <c r="J31" s="66" t="s">
        <v>573</v>
      </c>
      <c r="K31" s="166">
        <f>C31*1.5</f>
        <v>225</v>
      </c>
      <c r="L31" s="158"/>
      <c r="M31" s="158"/>
      <c r="N31" s="73">
        <f t="shared" si="1"/>
        <v>157.5</v>
      </c>
      <c r="O31" s="73"/>
      <c r="P31" s="73"/>
      <c r="Q31" s="73">
        <f t="shared" si="2"/>
        <v>50</v>
      </c>
      <c r="R31" s="73"/>
      <c r="S31" s="73"/>
    </row>
    <row r="32" spans="1:19" s="30" customFormat="1" ht="64.5" customHeight="1" x14ac:dyDescent="0.25">
      <c r="A32" s="64">
        <v>20</v>
      </c>
      <c r="B32" s="66" t="s">
        <v>574</v>
      </c>
      <c r="C32" s="85">
        <v>300</v>
      </c>
      <c r="D32" s="86"/>
      <c r="E32" s="86"/>
      <c r="F32" s="73">
        <f t="shared" si="0"/>
        <v>210</v>
      </c>
      <c r="G32" s="73"/>
      <c r="H32" s="73"/>
      <c r="I32" s="156" t="s">
        <v>917</v>
      </c>
      <c r="J32" s="66" t="s">
        <v>575</v>
      </c>
      <c r="K32" s="166">
        <f>C32*1.3</f>
        <v>390</v>
      </c>
      <c r="L32" s="64"/>
      <c r="M32" s="64"/>
      <c r="N32" s="73">
        <f t="shared" si="1"/>
        <v>273</v>
      </c>
      <c r="O32" s="73"/>
      <c r="P32" s="73"/>
      <c r="Q32" s="73">
        <f t="shared" si="2"/>
        <v>30</v>
      </c>
      <c r="R32" s="73"/>
      <c r="S32" s="73"/>
    </row>
    <row r="33" spans="1:21" s="30" customFormat="1" ht="34.5" customHeight="1" x14ac:dyDescent="0.25">
      <c r="A33" s="64">
        <v>21</v>
      </c>
      <c r="B33" s="66" t="s">
        <v>576</v>
      </c>
      <c r="C33" s="87">
        <v>150</v>
      </c>
      <c r="D33" s="157">
        <v>120</v>
      </c>
      <c r="E33" s="157">
        <v>90</v>
      </c>
      <c r="F33" s="73">
        <f>C33*70%</f>
        <v>105</v>
      </c>
      <c r="G33" s="73">
        <f>D33*70%</f>
        <v>84</v>
      </c>
      <c r="H33" s="73">
        <f>E33*70%</f>
        <v>62.999999999999993</v>
      </c>
      <c r="I33" s="156" t="s">
        <v>918</v>
      </c>
      <c r="J33" s="66" t="s">
        <v>576</v>
      </c>
      <c r="K33" s="73">
        <f>C33*1.3</f>
        <v>195</v>
      </c>
      <c r="L33" s="73">
        <f>D33*1.2</f>
        <v>144</v>
      </c>
      <c r="M33" s="73">
        <f>E33*1.1</f>
        <v>99.000000000000014</v>
      </c>
      <c r="N33" s="73">
        <f t="shared" si="1"/>
        <v>136.5</v>
      </c>
      <c r="O33" s="73">
        <f t="shared" si="1"/>
        <v>100.8</v>
      </c>
      <c r="P33" s="73">
        <f t="shared" si="1"/>
        <v>69.300000000000011</v>
      </c>
      <c r="Q33" s="73">
        <f t="shared" si="2"/>
        <v>30</v>
      </c>
      <c r="R33" s="73">
        <f t="shared" si="2"/>
        <v>20</v>
      </c>
      <c r="S33" s="73">
        <f t="shared" si="2"/>
        <v>10.000000000000028</v>
      </c>
    </row>
    <row r="34" spans="1:21" s="30" customFormat="1" ht="57.75" customHeight="1" x14ac:dyDescent="0.25">
      <c r="A34" s="64">
        <v>22</v>
      </c>
      <c r="B34" s="66" t="s">
        <v>577</v>
      </c>
      <c r="C34" s="87">
        <v>150</v>
      </c>
      <c r="D34" s="157">
        <v>120</v>
      </c>
      <c r="E34" s="157">
        <v>90</v>
      </c>
      <c r="F34" s="73">
        <f t="shared" ref="F34:H92" si="3">C34*70%</f>
        <v>105</v>
      </c>
      <c r="G34" s="73">
        <f t="shared" si="3"/>
        <v>84</v>
      </c>
      <c r="H34" s="73">
        <f t="shared" si="3"/>
        <v>62.999999999999993</v>
      </c>
      <c r="I34" s="156" t="s">
        <v>919</v>
      </c>
      <c r="J34" s="66" t="s">
        <v>577</v>
      </c>
      <c r="K34" s="73">
        <f>C34*1.3</f>
        <v>195</v>
      </c>
      <c r="L34" s="73">
        <f>D34*1.2</f>
        <v>144</v>
      </c>
      <c r="M34" s="73">
        <f>E34*1.1</f>
        <v>99.000000000000014</v>
      </c>
      <c r="N34" s="73">
        <f t="shared" si="1"/>
        <v>136.5</v>
      </c>
      <c r="O34" s="73">
        <f t="shared" si="1"/>
        <v>100.8</v>
      </c>
      <c r="P34" s="73">
        <f t="shared" si="1"/>
        <v>69.300000000000011</v>
      </c>
      <c r="Q34" s="73">
        <f t="shared" si="2"/>
        <v>30</v>
      </c>
      <c r="R34" s="73">
        <f t="shared" si="2"/>
        <v>20</v>
      </c>
      <c r="S34" s="73">
        <f t="shared" si="2"/>
        <v>10.000000000000028</v>
      </c>
    </row>
    <row r="35" spans="1:21" s="30" customFormat="1" ht="27" customHeight="1" x14ac:dyDescent="0.25">
      <c r="A35" s="64">
        <v>23</v>
      </c>
      <c r="B35" s="66" t="s">
        <v>578</v>
      </c>
      <c r="C35" s="87">
        <v>100</v>
      </c>
      <c r="D35" s="157">
        <v>80</v>
      </c>
      <c r="E35" s="157">
        <v>60</v>
      </c>
      <c r="F35" s="73">
        <f t="shared" si="3"/>
        <v>70</v>
      </c>
      <c r="G35" s="73">
        <f t="shared" si="3"/>
        <v>56</v>
      </c>
      <c r="H35" s="73">
        <f t="shared" si="3"/>
        <v>42</v>
      </c>
      <c r="I35" s="156" t="s">
        <v>920</v>
      </c>
      <c r="J35" s="66" t="s">
        <v>578</v>
      </c>
      <c r="K35" s="73">
        <f>C35*1.1</f>
        <v>110.00000000000001</v>
      </c>
      <c r="L35" s="73">
        <f>D35*1.1</f>
        <v>88</v>
      </c>
      <c r="M35" s="73">
        <f>E35*1.1</f>
        <v>66</v>
      </c>
      <c r="N35" s="73">
        <f t="shared" si="1"/>
        <v>77</v>
      </c>
      <c r="O35" s="73">
        <f t="shared" si="1"/>
        <v>61.599999999999994</v>
      </c>
      <c r="P35" s="73">
        <f t="shared" si="1"/>
        <v>46.199999999999996</v>
      </c>
      <c r="Q35" s="73">
        <f t="shared" si="2"/>
        <v>10.000000000000014</v>
      </c>
      <c r="R35" s="73">
        <f t="shared" si="2"/>
        <v>9.9999999999999858</v>
      </c>
      <c r="S35" s="73">
        <f t="shared" si="2"/>
        <v>9.9999999999999858</v>
      </c>
    </row>
    <row r="36" spans="1:21" s="30" customFormat="1" ht="28.5" customHeight="1" x14ac:dyDescent="0.25">
      <c r="A36" s="64"/>
      <c r="B36" s="62" t="s">
        <v>921</v>
      </c>
      <c r="C36" s="87"/>
      <c r="D36" s="159"/>
      <c r="E36" s="159"/>
      <c r="F36" s="73">
        <f t="shared" si="3"/>
        <v>0</v>
      </c>
      <c r="G36" s="73">
        <f t="shared" si="3"/>
        <v>0</v>
      </c>
      <c r="H36" s="73">
        <f t="shared" si="3"/>
        <v>0</v>
      </c>
      <c r="I36" s="64"/>
      <c r="J36" s="62" t="s">
        <v>921</v>
      </c>
      <c r="K36" s="73"/>
      <c r="L36" s="73"/>
      <c r="M36" s="73"/>
      <c r="N36" s="73"/>
      <c r="O36" s="73"/>
      <c r="P36" s="73"/>
      <c r="Q36" s="73"/>
      <c r="R36" s="73"/>
      <c r="S36" s="73"/>
    </row>
    <row r="37" spans="1:21" s="30" customFormat="1" ht="54" customHeight="1" x14ac:dyDescent="0.25">
      <c r="A37" s="64">
        <v>1</v>
      </c>
      <c r="B37" s="66" t="s">
        <v>579</v>
      </c>
      <c r="C37" s="87">
        <v>100</v>
      </c>
      <c r="D37" s="87">
        <v>80</v>
      </c>
      <c r="E37" s="87">
        <v>60</v>
      </c>
      <c r="F37" s="73">
        <f t="shared" si="3"/>
        <v>70</v>
      </c>
      <c r="G37" s="73">
        <f t="shared" si="3"/>
        <v>56</v>
      </c>
      <c r="H37" s="73">
        <f t="shared" si="3"/>
        <v>42</v>
      </c>
      <c r="I37" s="156" t="s">
        <v>92</v>
      </c>
      <c r="J37" s="66" t="s">
        <v>580</v>
      </c>
      <c r="K37" s="73">
        <f>C37*1.1</f>
        <v>110.00000000000001</v>
      </c>
      <c r="L37" s="73">
        <f>D37*1.1</f>
        <v>88</v>
      </c>
      <c r="M37" s="73">
        <f>E37*1.1</f>
        <v>66</v>
      </c>
      <c r="N37" s="73">
        <f t="shared" si="1"/>
        <v>77</v>
      </c>
      <c r="O37" s="73">
        <f t="shared" si="1"/>
        <v>61.599999999999994</v>
      </c>
      <c r="P37" s="73">
        <f t="shared" si="1"/>
        <v>46.199999999999996</v>
      </c>
      <c r="Q37" s="73">
        <f t="shared" si="2"/>
        <v>10.000000000000014</v>
      </c>
      <c r="R37" s="73">
        <f t="shared" si="2"/>
        <v>9.9999999999999858</v>
      </c>
      <c r="S37" s="73">
        <f t="shared" si="2"/>
        <v>9.9999999999999858</v>
      </c>
    </row>
    <row r="38" spans="1:21" s="30" customFormat="1" ht="58.5" customHeight="1" x14ac:dyDescent="0.25">
      <c r="A38" s="64">
        <v>2</v>
      </c>
      <c r="B38" s="66" t="s">
        <v>581</v>
      </c>
      <c r="C38" s="87">
        <v>160</v>
      </c>
      <c r="D38" s="87">
        <v>110</v>
      </c>
      <c r="E38" s="87">
        <v>65</v>
      </c>
      <c r="F38" s="73">
        <f t="shared" si="3"/>
        <v>112</v>
      </c>
      <c r="G38" s="73">
        <f t="shared" si="3"/>
        <v>77</v>
      </c>
      <c r="H38" s="73">
        <f t="shared" si="3"/>
        <v>45.5</v>
      </c>
      <c r="I38" s="156" t="s">
        <v>14</v>
      </c>
      <c r="J38" s="66" t="s">
        <v>582</v>
      </c>
      <c r="K38" s="73">
        <f>C38*1.2</f>
        <v>192</v>
      </c>
      <c r="L38" s="73">
        <f>D38*1.1</f>
        <v>121.00000000000001</v>
      </c>
      <c r="M38" s="73">
        <f>E38*1.1</f>
        <v>71.5</v>
      </c>
      <c r="N38" s="73">
        <f t="shared" si="1"/>
        <v>134.39999999999998</v>
      </c>
      <c r="O38" s="73">
        <f t="shared" si="1"/>
        <v>84.7</v>
      </c>
      <c r="P38" s="73">
        <f t="shared" si="1"/>
        <v>50.05</v>
      </c>
      <c r="Q38" s="73">
        <f t="shared" si="2"/>
        <v>19.999999999999972</v>
      </c>
      <c r="R38" s="73">
        <f t="shared" si="2"/>
        <v>10.000000000000014</v>
      </c>
      <c r="S38" s="73">
        <f t="shared" si="2"/>
        <v>9.9999999999999858</v>
      </c>
    </row>
    <row r="39" spans="1:21" s="30" customFormat="1" ht="57.75" customHeight="1" x14ac:dyDescent="0.25">
      <c r="A39" s="64">
        <v>3</v>
      </c>
      <c r="B39" s="66" t="s">
        <v>583</v>
      </c>
      <c r="C39" s="87">
        <v>90</v>
      </c>
      <c r="D39" s="87">
        <v>75</v>
      </c>
      <c r="E39" s="87">
        <v>55</v>
      </c>
      <c r="F39" s="73">
        <f t="shared" si="3"/>
        <v>62.999999999999993</v>
      </c>
      <c r="G39" s="73">
        <f t="shared" si="3"/>
        <v>52.5</v>
      </c>
      <c r="H39" s="73">
        <f t="shared" si="3"/>
        <v>38.5</v>
      </c>
      <c r="I39" s="156" t="s">
        <v>94</v>
      </c>
      <c r="J39" s="66" t="s">
        <v>583</v>
      </c>
      <c r="K39" s="73">
        <f>C39*1.2</f>
        <v>108</v>
      </c>
      <c r="L39" s="73">
        <f>D39*1.15</f>
        <v>86.25</v>
      </c>
      <c r="M39" s="73">
        <f>E39*1.1</f>
        <v>60.500000000000007</v>
      </c>
      <c r="N39" s="73">
        <f t="shared" si="1"/>
        <v>75.599999999999994</v>
      </c>
      <c r="O39" s="73">
        <f t="shared" si="1"/>
        <v>60.374999999999993</v>
      </c>
      <c r="P39" s="73">
        <f t="shared" si="1"/>
        <v>42.35</v>
      </c>
      <c r="Q39" s="73">
        <f t="shared" si="2"/>
        <v>20</v>
      </c>
      <c r="R39" s="73">
        <f t="shared" si="2"/>
        <v>14.999999999999986</v>
      </c>
      <c r="S39" s="73">
        <f t="shared" si="2"/>
        <v>10.000000000000014</v>
      </c>
    </row>
    <row r="40" spans="1:21" s="30" customFormat="1" ht="46.5" customHeight="1" x14ac:dyDescent="0.25">
      <c r="A40" s="64">
        <v>4</v>
      </c>
      <c r="B40" s="66" t="s">
        <v>584</v>
      </c>
      <c r="C40" s="87">
        <v>100</v>
      </c>
      <c r="D40" s="87">
        <v>80</v>
      </c>
      <c r="E40" s="87">
        <v>60</v>
      </c>
      <c r="F40" s="73">
        <f t="shared" si="3"/>
        <v>70</v>
      </c>
      <c r="G40" s="73">
        <f t="shared" si="3"/>
        <v>56</v>
      </c>
      <c r="H40" s="73">
        <f t="shared" si="3"/>
        <v>42</v>
      </c>
      <c r="I40" s="156" t="s">
        <v>95</v>
      </c>
      <c r="J40" s="66" t="s">
        <v>585</v>
      </c>
      <c r="K40" s="73">
        <f>C40*1.1</f>
        <v>110.00000000000001</v>
      </c>
      <c r="L40" s="73">
        <f>D40*1.1</f>
        <v>88</v>
      </c>
      <c r="M40" s="73">
        <f>E40*1.1</f>
        <v>66</v>
      </c>
      <c r="N40" s="73">
        <f t="shared" si="1"/>
        <v>77</v>
      </c>
      <c r="O40" s="73">
        <f t="shared" si="1"/>
        <v>61.599999999999994</v>
      </c>
      <c r="P40" s="73">
        <f t="shared" si="1"/>
        <v>46.199999999999996</v>
      </c>
      <c r="Q40" s="73">
        <f t="shared" si="2"/>
        <v>10.000000000000014</v>
      </c>
      <c r="R40" s="73">
        <f t="shared" si="2"/>
        <v>9.9999999999999858</v>
      </c>
      <c r="S40" s="73">
        <f t="shared" si="2"/>
        <v>9.9999999999999858</v>
      </c>
    </row>
    <row r="41" spans="1:21" s="30" customFormat="1" ht="44.25" customHeight="1" x14ac:dyDescent="0.25">
      <c r="A41" s="64">
        <v>5</v>
      </c>
      <c r="B41" s="66" t="s">
        <v>586</v>
      </c>
      <c r="C41" s="87">
        <v>90</v>
      </c>
      <c r="D41" s="87">
        <v>75</v>
      </c>
      <c r="E41" s="87">
        <v>55</v>
      </c>
      <c r="F41" s="73">
        <f t="shared" si="3"/>
        <v>62.999999999999993</v>
      </c>
      <c r="G41" s="73">
        <f t="shared" si="3"/>
        <v>52.5</v>
      </c>
      <c r="H41" s="73">
        <f t="shared" si="3"/>
        <v>38.5</v>
      </c>
      <c r="I41" s="156" t="s">
        <v>96</v>
      </c>
      <c r="J41" s="66" t="s">
        <v>587</v>
      </c>
      <c r="K41" s="73">
        <f>C41*1.1</f>
        <v>99.000000000000014</v>
      </c>
      <c r="L41" s="73">
        <f>D41*1.1</f>
        <v>82.5</v>
      </c>
      <c r="M41" s="73">
        <f>E41*1.1</f>
        <v>60.500000000000007</v>
      </c>
      <c r="N41" s="73">
        <f t="shared" si="1"/>
        <v>69.300000000000011</v>
      </c>
      <c r="O41" s="73">
        <f t="shared" si="1"/>
        <v>57.749999999999993</v>
      </c>
      <c r="P41" s="73">
        <f t="shared" si="1"/>
        <v>42.35</v>
      </c>
      <c r="Q41" s="73">
        <f t="shared" si="2"/>
        <v>10.000000000000028</v>
      </c>
      <c r="R41" s="73">
        <f t="shared" si="2"/>
        <v>9.9999999999999858</v>
      </c>
      <c r="S41" s="73">
        <f t="shared" si="2"/>
        <v>10.000000000000014</v>
      </c>
    </row>
    <row r="42" spans="1:21" s="30" customFormat="1" ht="33" x14ac:dyDescent="0.25">
      <c r="A42" s="64"/>
      <c r="B42" s="66"/>
      <c r="C42" s="87"/>
      <c r="D42" s="87"/>
      <c r="E42" s="87"/>
      <c r="F42" s="73"/>
      <c r="G42" s="73"/>
      <c r="H42" s="73"/>
      <c r="I42" s="156" t="s">
        <v>97</v>
      </c>
      <c r="J42" s="66" t="s">
        <v>922</v>
      </c>
      <c r="K42" s="73">
        <v>100</v>
      </c>
      <c r="L42" s="73">
        <v>80</v>
      </c>
      <c r="M42" s="73">
        <v>60</v>
      </c>
      <c r="N42" s="73">
        <f t="shared" si="1"/>
        <v>70</v>
      </c>
      <c r="O42" s="73">
        <f t="shared" si="1"/>
        <v>56</v>
      </c>
      <c r="P42" s="73">
        <f t="shared" si="1"/>
        <v>42</v>
      </c>
      <c r="Q42" s="73"/>
      <c r="R42" s="73"/>
      <c r="S42" s="73"/>
    </row>
    <row r="43" spans="1:21" s="30" customFormat="1" ht="115.5" hidden="1" x14ac:dyDescent="0.25">
      <c r="A43" s="64">
        <v>6</v>
      </c>
      <c r="B43" s="66" t="s">
        <v>578</v>
      </c>
      <c r="C43" s="87">
        <v>80</v>
      </c>
      <c r="D43" s="87">
        <v>70</v>
      </c>
      <c r="E43" s="87">
        <v>60</v>
      </c>
      <c r="F43" s="73">
        <f t="shared" si="3"/>
        <v>56</v>
      </c>
      <c r="G43" s="73">
        <f t="shared" si="3"/>
        <v>49</v>
      </c>
      <c r="H43" s="73">
        <f t="shared" si="3"/>
        <v>42</v>
      </c>
      <c r="I43" s="156" t="s">
        <v>99</v>
      </c>
      <c r="J43" s="66" t="s">
        <v>578</v>
      </c>
      <c r="K43" s="73">
        <f>C43*1.1</f>
        <v>88</v>
      </c>
      <c r="L43" s="73">
        <f>D43*1.1</f>
        <v>77</v>
      </c>
      <c r="M43" s="73">
        <f>E43*1.1</f>
        <v>66</v>
      </c>
      <c r="N43" s="73">
        <f t="shared" si="1"/>
        <v>61.599999999999994</v>
      </c>
      <c r="O43" s="73">
        <f t="shared" si="1"/>
        <v>53.9</v>
      </c>
      <c r="P43" s="73">
        <f t="shared" si="1"/>
        <v>46.199999999999996</v>
      </c>
      <c r="Q43" s="73">
        <f t="shared" si="2"/>
        <v>9.9999999999999858</v>
      </c>
      <c r="R43" s="73">
        <f t="shared" si="2"/>
        <v>9.9999999999999858</v>
      </c>
      <c r="S43" s="73">
        <f t="shared" si="2"/>
        <v>9.9999999999999858</v>
      </c>
    </row>
    <row r="44" spans="1:21" s="30" customFormat="1" ht="23.25" customHeight="1" x14ac:dyDescent="0.25">
      <c r="A44" s="64"/>
      <c r="B44" s="62" t="s">
        <v>923</v>
      </c>
      <c r="C44" s="87"/>
      <c r="D44" s="159"/>
      <c r="E44" s="160"/>
      <c r="F44" s="73">
        <f t="shared" si="3"/>
        <v>0</v>
      </c>
      <c r="G44" s="73">
        <f t="shared" si="3"/>
        <v>0</v>
      </c>
      <c r="H44" s="73">
        <f t="shared" si="3"/>
        <v>0</v>
      </c>
      <c r="I44" s="64"/>
      <c r="J44" s="62" t="s">
        <v>923</v>
      </c>
      <c r="K44" s="73"/>
      <c r="L44" s="73"/>
      <c r="M44" s="73"/>
      <c r="N44" s="73"/>
      <c r="O44" s="73"/>
      <c r="P44" s="73"/>
      <c r="Q44" s="73"/>
      <c r="R44" s="73"/>
      <c r="S44" s="73"/>
    </row>
    <row r="45" spans="1:21" s="30" customFormat="1" ht="39.75" customHeight="1" x14ac:dyDescent="0.25">
      <c r="A45" s="64">
        <v>1</v>
      </c>
      <c r="B45" s="66" t="s">
        <v>588</v>
      </c>
      <c r="C45" s="87">
        <v>100</v>
      </c>
      <c r="D45" s="159">
        <v>85</v>
      </c>
      <c r="E45" s="160">
        <v>75</v>
      </c>
      <c r="F45" s="73">
        <f t="shared" si="3"/>
        <v>70</v>
      </c>
      <c r="G45" s="73">
        <f t="shared" si="3"/>
        <v>59.499999999999993</v>
      </c>
      <c r="H45" s="73">
        <f t="shared" si="3"/>
        <v>52.5</v>
      </c>
      <c r="I45" s="156" t="s">
        <v>18</v>
      </c>
      <c r="J45" s="66" t="s">
        <v>588</v>
      </c>
      <c r="K45" s="73">
        <f>C45*1.2</f>
        <v>120</v>
      </c>
      <c r="L45" s="73">
        <f>D45*1.15</f>
        <v>97.749999999999986</v>
      </c>
      <c r="M45" s="73">
        <f>E45*1.1</f>
        <v>82.5</v>
      </c>
      <c r="N45" s="73">
        <f t="shared" si="1"/>
        <v>84</v>
      </c>
      <c r="O45" s="73">
        <f t="shared" si="1"/>
        <v>68.424999999999983</v>
      </c>
      <c r="P45" s="73">
        <f t="shared" si="1"/>
        <v>57.749999999999993</v>
      </c>
      <c r="Q45" s="73">
        <f t="shared" si="2"/>
        <v>20</v>
      </c>
      <c r="R45" s="73">
        <f t="shared" si="2"/>
        <v>14.999999999999986</v>
      </c>
      <c r="S45" s="73">
        <f t="shared" si="2"/>
        <v>9.9999999999999858</v>
      </c>
      <c r="T45" s="31"/>
    </row>
    <row r="46" spans="1:21" s="30" customFormat="1" ht="57.75" customHeight="1" x14ac:dyDescent="0.25">
      <c r="A46" s="64">
        <v>2</v>
      </c>
      <c r="B46" s="66" t="s">
        <v>589</v>
      </c>
      <c r="C46" s="87">
        <v>120</v>
      </c>
      <c r="D46" s="159">
        <v>100</v>
      </c>
      <c r="E46" s="159">
        <v>80</v>
      </c>
      <c r="F46" s="73">
        <f t="shared" si="3"/>
        <v>84</v>
      </c>
      <c r="G46" s="73">
        <f t="shared" si="3"/>
        <v>70</v>
      </c>
      <c r="H46" s="73">
        <f t="shared" si="3"/>
        <v>56</v>
      </c>
      <c r="I46" s="156" t="s">
        <v>19</v>
      </c>
      <c r="J46" s="66" t="s">
        <v>924</v>
      </c>
      <c r="K46" s="73">
        <f t="shared" ref="K46:L48" si="4">C46*1.1</f>
        <v>132</v>
      </c>
      <c r="L46" s="73">
        <f t="shared" si="4"/>
        <v>110.00000000000001</v>
      </c>
      <c r="M46" s="73">
        <f>E46*1.1</f>
        <v>88</v>
      </c>
      <c r="N46" s="73">
        <f t="shared" si="1"/>
        <v>92.399999999999991</v>
      </c>
      <c r="O46" s="73">
        <f t="shared" si="1"/>
        <v>77</v>
      </c>
      <c r="P46" s="73">
        <f t="shared" si="1"/>
        <v>61.599999999999994</v>
      </c>
      <c r="Q46" s="73">
        <f t="shared" si="2"/>
        <v>9.9999999999999858</v>
      </c>
      <c r="R46" s="73">
        <f t="shared" si="2"/>
        <v>10.000000000000014</v>
      </c>
      <c r="S46" s="73">
        <f t="shared" si="2"/>
        <v>9.9999999999999858</v>
      </c>
      <c r="T46" s="31"/>
      <c r="U46" s="32"/>
    </row>
    <row r="47" spans="1:21" s="30" customFormat="1" ht="39" customHeight="1" x14ac:dyDescent="0.25">
      <c r="A47" s="64">
        <v>3</v>
      </c>
      <c r="B47" s="66" t="s">
        <v>590</v>
      </c>
      <c r="C47" s="87">
        <v>180</v>
      </c>
      <c r="D47" s="159">
        <v>130</v>
      </c>
      <c r="E47" s="159">
        <v>90</v>
      </c>
      <c r="F47" s="73">
        <f t="shared" si="3"/>
        <v>125.99999999999999</v>
      </c>
      <c r="G47" s="73">
        <f t="shared" si="3"/>
        <v>91</v>
      </c>
      <c r="H47" s="73">
        <f t="shared" si="3"/>
        <v>62.999999999999993</v>
      </c>
      <c r="I47" s="156" t="s">
        <v>20</v>
      </c>
      <c r="J47" s="66" t="s">
        <v>925</v>
      </c>
      <c r="K47" s="73">
        <f t="shared" si="4"/>
        <v>198.00000000000003</v>
      </c>
      <c r="L47" s="73">
        <f t="shared" si="4"/>
        <v>143</v>
      </c>
      <c r="M47" s="73">
        <f>E47*1.1</f>
        <v>99.000000000000014</v>
      </c>
      <c r="N47" s="73">
        <f t="shared" si="1"/>
        <v>138.60000000000002</v>
      </c>
      <c r="O47" s="73">
        <f t="shared" si="1"/>
        <v>100.1</v>
      </c>
      <c r="P47" s="73">
        <f t="shared" si="1"/>
        <v>69.300000000000011</v>
      </c>
      <c r="Q47" s="73">
        <f t="shared" si="2"/>
        <v>10.000000000000028</v>
      </c>
      <c r="R47" s="73">
        <f t="shared" si="2"/>
        <v>9.9999999999999858</v>
      </c>
      <c r="S47" s="73">
        <f t="shared" si="2"/>
        <v>10.000000000000028</v>
      </c>
      <c r="T47" s="31"/>
      <c r="U47" s="32"/>
    </row>
    <row r="48" spans="1:21" s="30" customFormat="1" ht="52.5" customHeight="1" x14ac:dyDescent="0.25">
      <c r="A48" s="64">
        <v>4</v>
      </c>
      <c r="B48" s="66" t="s">
        <v>591</v>
      </c>
      <c r="C48" s="87">
        <v>120</v>
      </c>
      <c r="D48" s="159">
        <v>100</v>
      </c>
      <c r="E48" s="159">
        <v>80</v>
      </c>
      <c r="F48" s="73">
        <f t="shared" si="3"/>
        <v>84</v>
      </c>
      <c r="G48" s="73">
        <f t="shared" si="3"/>
        <v>70</v>
      </c>
      <c r="H48" s="73">
        <f t="shared" si="3"/>
        <v>56</v>
      </c>
      <c r="I48" s="156" t="s">
        <v>21</v>
      </c>
      <c r="J48" s="66" t="s">
        <v>592</v>
      </c>
      <c r="K48" s="73">
        <f t="shared" si="4"/>
        <v>132</v>
      </c>
      <c r="L48" s="73">
        <f t="shared" si="4"/>
        <v>110.00000000000001</v>
      </c>
      <c r="M48" s="73">
        <f>E48*1.1</f>
        <v>88</v>
      </c>
      <c r="N48" s="73">
        <f t="shared" si="1"/>
        <v>92.399999999999991</v>
      </c>
      <c r="O48" s="73">
        <f t="shared" si="1"/>
        <v>77</v>
      </c>
      <c r="P48" s="73">
        <f t="shared" si="1"/>
        <v>61.599999999999994</v>
      </c>
      <c r="Q48" s="73">
        <f t="shared" si="2"/>
        <v>9.9999999999999858</v>
      </c>
      <c r="R48" s="73">
        <f t="shared" si="2"/>
        <v>10.000000000000014</v>
      </c>
      <c r="S48" s="73">
        <f t="shared" si="2"/>
        <v>9.9999999999999858</v>
      </c>
      <c r="T48" s="31"/>
      <c r="U48" s="32"/>
    </row>
    <row r="49" spans="1:21" s="30" customFormat="1" ht="25.5" customHeight="1" x14ac:dyDescent="0.25">
      <c r="A49" s="64">
        <v>5</v>
      </c>
      <c r="B49" s="66" t="s">
        <v>593</v>
      </c>
      <c r="C49" s="87">
        <v>80</v>
      </c>
      <c r="D49" s="159">
        <v>70</v>
      </c>
      <c r="E49" s="159">
        <v>60</v>
      </c>
      <c r="F49" s="73">
        <f t="shared" si="3"/>
        <v>56</v>
      </c>
      <c r="G49" s="73">
        <f t="shared" si="3"/>
        <v>49</v>
      </c>
      <c r="H49" s="73">
        <f t="shared" si="3"/>
        <v>42</v>
      </c>
      <c r="I49" s="156" t="s">
        <v>22</v>
      </c>
      <c r="J49" s="66" t="s">
        <v>593</v>
      </c>
      <c r="K49" s="73">
        <f>C49*1.1</f>
        <v>88</v>
      </c>
      <c r="L49" s="73">
        <f>D49*1.1</f>
        <v>77</v>
      </c>
      <c r="M49" s="73">
        <f>E49*1.1</f>
        <v>66</v>
      </c>
      <c r="N49" s="73">
        <f t="shared" si="1"/>
        <v>61.599999999999994</v>
      </c>
      <c r="O49" s="73">
        <f t="shared" si="1"/>
        <v>53.9</v>
      </c>
      <c r="P49" s="73">
        <f t="shared" si="1"/>
        <v>46.199999999999996</v>
      </c>
      <c r="Q49" s="73">
        <f t="shared" si="2"/>
        <v>9.9999999999999858</v>
      </c>
      <c r="R49" s="73">
        <f t="shared" si="2"/>
        <v>9.9999999999999858</v>
      </c>
      <c r="S49" s="73">
        <f t="shared" si="2"/>
        <v>9.9999999999999858</v>
      </c>
      <c r="T49" s="31"/>
    </row>
    <row r="50" spans="1:21" s="30" customFormat="1" ht="21.75" customHeight="1" x14ac:dyDescent="0.25">
      <c r="A50" s="64"/>
      <c r="B50" s="62" t="s">
        <v>926</v>
      </c>
      <c r="C50" s="87"/>
      <c r="D50" s="159"/>
      <c r="E50" s="160"/>
      <c r="F50" s="73">
        <f t="shared" si="3"/>
        <v>0</v>
      </c>
      <c r="G50" s="73">
        <f t="shared" si="3"/>
        <v>0</v>
      </c>
      <c r="H50" s="73">
        <f t="shared" si="3"/>
        <v>0</v>
      </c>
      <c r="I50" s="64"/>
      <c r="J50" s="62" t="s">
        <v>926</v>
      </c>
      <c r="K50" s="73"/>
      <c r="L50" s="73"/>
      <c r="M50" s="73"/>
      <c r="N50" s="73"/>
      <c r="O50" s="73"/>
      <c r="P50" s="73"/>
      <c r="Q50" s="73"/>
      <c r="R50" s="73"/>
      <c r="S50" s="73"/>
    </row>
    <row r="51" spans="1:21" s="30" customFormat="1" ht="56.25" customHeight="1" x14ac:dyDescent="0.25">
      <c r="A51" s="64">
        <v>1</v>
      </c>
      <c r="B51" s="66" t="s">
        <v>594</v>
      </c>
      <c r="C51" s="87">
        <v>120</v>
      </c>
      <c r="D51" s="159">
        <v>100</v>
      </c>
      <c r="E51" s="159">
        <v>60</v>
      </c>
      <c r="F51" s="73">
        <f t="shared" si="3"/>
        <v>84</v>
      </c>
      <c r="G51" s="73">
        <f t="shared" si="3"/>
        <v>70</v>
      </c>
      <c r="H51" s="73">
        <f t="shared" si="3"/>
        <v>42</v>
      </c>
      <c r="I51" s="64" t="s">
        <v>10</v>
      </c>
      <c r="J51" s="66" t="s">
        <v>595</v>
      </c>
      <c r="K51" s="73">
        <f>C51*1.1</f>
        <v>132</v>
      </c>
      <c r="L51" s="73">
        <f>D51*1.1</f>
        <v>110.00000000000001</v>
      </c>
      <c r="M51" s="73">
        <f>E51*1.1</f>
        <v>66</v>
      </c>
      <c r="N51" s="73">
        <f t="shared" si="1"/>
        <v>92.399999999999991</v>
      </c>
      <c r="O51" s="73">
        <f t="shared" si="1"/>
        <v>77</v>
      </c>
      <c r="P51" s="73">
        <f t="shared" si="1"/>
        <v>46.199999999999996</v>
      </c>
      <c r="Q51" s="73">
        <f t="shared" si="2"/>
        <v>9.9999999999999858</v>
      </c>
      <c r="R51" s="73">
        <f t="shared" si="2"/>
        <v>10.000000000000014</v>
      </c>
      <c r="S51" s="73">
        <f t="shared" si="2"/>
        <v>9.9999999999999858</v>
      </c>
    </row>
    <row r="52" spans="1:21" s="30" customFormat="1" ht="59.25" customHeight="1" x14ac:dyDescent="0.25">
      <c r="A52" s="64">
        <v>2</v>
      </c>
      <c r="B52" s="66" t="s">
        <v>596</v>
      </c>
      <c r="C52" s="87">
        <v>180</v>
      </c>
      <c r="D52" s="159">
        <v>130</v>
      </c>
      <c r="E52" s="159">
        <v>75</v>
      </c>
      <c r="F52" s="73">
        <f t="shared" si="3"/>
        <v>125.99999999999999</v>
      </c>
      <c r="G52" s="73">
        <f t="shared" si="3"/>
        <v>91</v>
      </c>
      <c r="H52" s="73">
        <f t="shared" si="3"/>
        <v>52.5</v>
      </c>
      <c r="I52" s="64" t="s">
        <v>11</v>
      </c>
      <c r="J52" s="66" t="s">
        <v>596</v>
      </c>
      <c r="K52" s="73">
        <f>C52*1.3</f>
        <v>234</v>
      </c>
      <c r="L52" s="73">
        <f>D52*1.2</f>
        <v>156</v>
      </c>
      <c r="M52" s="73">
        <f>E52*1.2</f>
        <v>90</v>
      </c>
      <c r="N52" s="73">
        <f t="shared" si="1"/>
        <v>163.79999999999998</v>
      </c>
      <c r="O52" s="73">
        <f t="shared" si="1"/>
        <v>109.19999999999999</v>
      </c>
      <c r="P52" s="73">
        <f t="shared" si="1"/>
        <v>62.999999999999993</v>
      </c>
      <c r="Q52" s="73">
        <f t="shared" si="2"/>
        <v>30</v>
      </c>
      <c r="R52" s="73">
        <f t="shared" si="2"/>
        <v>20</v>
      </c>
      <c r="S52" s="73">
        <f t="shared" si="2"/>
        <v>20</v>
      </c>
    </row>
    <row r="53" spans="1:21" s="30" customFormat="1" ht="38.25" customHeight="1" x14ac:dyDescent="0.25">
      <c r="A53" s="64">
        <v>3</v>
      </c>
      <c r="B53" s="66" t="s">
        <v>597</v>
      </c>
      <c r="C53" s="87">
        <v>120</v>
      </c>
      <c r="D53" s="159">
        <v>100</v>
      </c>
      <c r="E53" s="159">
        <v>60</v>
      </c>
      <c r="F53" s="73">
        <f t="shared" si="3"/>
        <v>84</v>
      </c>
      <c r="G53" s="73">
        <f t="shared" si="3"/>
        <v>70</v>
      </c>
      <c r="H53" s="73">
        <f t="shared" si="3"/>
        <v>42</v>
      </c>
      <c r="I53" s="64" t="s">
        <v>29</v>
      </c>
      <c r="J53" s="66" t="s">
        <v>597</v>
      </c>
      <c r="K53" s="73">
        <f>C53*1.2</f>
        <v>144</v>
      </c>
      <c r="L53" s="73">
        <f>D53*1.2</f>
        <v>120</v>
      </c>
      <c r="M53" s="73">
        <f>E53*1.2</f>
        <v>72</v>
      </c>
      <c r="N53" s="73">
        <f t="shared" si="1"/>
        <v>100.8</v>
      </c>
      <c r="O53" s="73">
        <f t="shared" si="1"/>
        <v>84</v>
      </c>
      <c r="P53" s="73">
        <f t="shared" si="1"/>
        <v>50.4</v>
      </c>
      <c r="Q53" s="73">
        <f t="shared" si="2"/>
        <v>20</v>
      </c>
      <c r="R53" s="73">
        <f t="shared" si="2"/>
        <v>20</v>
      </c>
      <c r="S53" s="73">
        <f t="shared" si="2"/>
        <v>20</v>
      </c>
    </row>
    <row r="54" spans="1:21" s="30" customFormat="1" ht="16.5" x14ac:dyDescent="0.25">
      <c r="A54" s="64"/>
      <c r="B54" s="66"/>
      <c r="C54" s="87"/>
      <c r="D54" s="159"/>
      <c r="E54" s="159"/>
      <c r="F54" s="73"/>
      <c r="G54" s="73"/>
      <c r="H54" s="73"/>
      <c r="I54" s="64" t="s">
        <v>30</v>
      </c>
      <c r="J54" s="66" t="s">
        <v>598</v>
      </c>
      <c r="K54" s="73">
        <v>100</v>
      </c>
      <c r="L54" s="73">
        <v>80</v>
      </c>
      <c r="M54" s="73">
        <v>65</v>
      </c>
      <c r="N54" s="73">
        <f t="shared" si="1"/>
        <v>70</v>
      </c>
      <c r="O54" s="73">
        <f t="shared" si="1"/>
        <v>56</v>
      </c>
      <c r="P54" s="73">
        <f t="shared" si="1"/>
        <v>45.5</v>
      </c>
      <c r="Q54" s="73"/>
      <c r="R54" s="73"/>
      <c r="S54" s="73"/>
    </row>
    <row r="55" spans="1:21" s="30" customFormat="1" ht="16.5" x14ac:dyDescent="0.25">
      <c r="A55" s="64"/>
      <c r="B55" s="66"/>
      <c r="C55" s="87"/>
      <c r="D55" s="159"/>
      <c r="E55" s="159"/>
      <c r="F55" s="73"/>
      <c r="G55" s="73"/>
      <c r="H55" s="73"/>
      <c r="I55" s="64" t="s">
        <v>31</v>
      </c>
      <c r="J55" s="66" t="s">
        <v>599</v>
      </c>
      <c r="K55" s="73">
        <v>90</v>
      </c>
      <c r="L55" s="73">
        <v>77</v>
      </c>
      <c r="M55" s="73">
        <v>61</v>
      </c>
      <c r="N55" s="73">
        <f t="shared" si="1"/>
        <v>62.999999999999993</v>
      </c>
      <c r="O55" s="73">
        <f t="shared" si="1"/>
        <v>53.9</v>
      </c>
      <c r="P55" s="73">
        <f t="shared" si="1"/>
        <v>42.699999999999996</v>
      </c>
      <c r="Q55" s="73"/>
      <c r="R55" s="73"/>
      <c r="S55" s="73"/>
    </row>
    <row r="56" spans="1:21" s="30" customFormat="1" ht="33" x14ac:dyDescent="0.25">
      <c r="A56" s="64"/>
      <c r="B56" s="66"/>
      <c r="C56" s="87"/>
      <c r="D56" s="159"/>
      <c r="E56" s="159"/>
      <c r="F56" s="73"/>
      <c r="G56" s="73"/>
      <c r="H56" s="73"/>
      <c r="I56" s="64" t="s">
        <v>32</v>
      </c>
      <c r="J56" s="66" t="s">
        <v>600</v>
      </c>
      <c r="K56" s="73">
        <v>90</v>
      </c>
      <c r="L56" s="73">
        <v>77</v>
      </c>
      <c r="M56" s="73">
        <v>61</v>
      </c>
      <c r="N56" s="73">
        <f>K56*70%</f>
        <v>62.999999999999993</v>
      </c>
      <c r="O56" s="73">
        <f>L56*70%</f>
        <v>53.9</v>
      </c>
      <c r="P56" s="73">
        <f>M56*70%</f>
        <v>42.699999999999996</v>
      </c>
      <c r="Q56" s="73"/>
      <c r="R56" s="73"/>
      <c r="S56" s="73"/>
    </row>
    <row r="57" spans="1:21" s="30" customFormat="1" ht="34.5" customHeight="1" x14ac:dyDescent="0.25">
      <c r="A57" s="64">
        <v>4</v>
      </c>
      <c r="B57" s="66" t="s">
        <v>601</v>
      </c>
      <c r="C57" s="87">
        <v>80</v>
      </c>
      <c r="D57" s="159">
        <v>70</v>
      </c>
      <c r="E57" s="159">
        <v>55</v>
      </c>
      <c r="F57" s="73">
        <f t="shared" si="3"/>
        <v>56</v>
      </c>
      <c r="G57" s="73">
        <f t="shared" si="3"/>
        <v>49</v>
      </c>
      <c r="H57" s="73">
        <f t="shared" si="3"/>
        <v>38.5</v>
      </c>
      <c r="I57" s="64" t="s">
        <v>33</v>
      </c>
      <c r="J57" s="66" t="s">
        <v>601</v>
      </c>
      <c r="K57" s="73">
        <f>C57*1.1</f>
        <v>88</v>
      </c>
      <c r="L57" s="73">
        <f>D57*1.1</f>
        <v>77</v>
      </c>
      <c r="M57" s="73">
        <f>E57*1.1</f>
        <v>60.500000000000007</v>
      </c>
      <c r="N57" s="73">
        <f t="shared" si="1"/>
        <v>61.599999999999994</v>
      </c>
      <c r="O57" s="73">
        <f t="shared" si="1"/>
        <v>53.9</v>
      </c>
      <c r="P57" s="73">
        <f t="shared" si="1"/>
        <v>42.35</v>
      </c>
      <c r="Q57" s="73">
        <f t="shared" si="2"/>
        <v>9.9999999999999858</v>
      </c>
      <c r="R57" s="73">
        <f t="shared" si="2"/>
        <v>9.9999999999999858</v>
      </c>
      <c r="S57" s="73">
        <f t="shared" si="2"/>
        <v>10.000000000000014</v>
      </c>
    </row>
    <row r="58" spans="1:21" s="30" customFormat="1" ht="30.75" customHeight="1" x14ac:dyDescent="0.25">
      <c r="A58" s="64"/>
      <c r="B58" s="62" t="s">
        <v>927</v>
      </c>
      <c r="C58" s="87"/>
      <c r="D58" s="159"/>
      <c r="E58" s="160"/>
      <c r="F58" s="73">
        <f t="shared" si="3"/>
        <v>0</v>
      </c>
      <c r="G58" s="73">
        <f t="shared" si="3"/>
        <v>0</v>
      </c>
      <c r="H58" s="73">
        <f t="shared" si="3"/>
        <v>0</v>
      </c>
      <c r="I58" s="64"/>
      <c r="J58" s="62" t="s">
        <v>927</v>
      </c>
      <c r="K58" s="73"/>
      <c r="L58" s="73"/>
      <c r="M58" s="73"/>
      <c r="N58" s="73"/>
      <c r="O58" s="73"/>
      <c r="P58" s="73"/>
      <c r="Q58" s="73"/>
      <c r="R58" s="73"/>
      <c r="S58" s="73"/>
    </row>
    <row r="59" spans="1:21" s="30" customFormat="1" ht="33.75" customHeight="1" x14ac:dyDescent="0.25">
      <c r="A59" s="64">
        <v>1</v>
      </c>
      <c r="B59" s="66" t="s">
        <v>602</v>
      </c>
      <c r="C59" s="87">
        <v>95</v>
      </c>
      <c r="D59" s="159">
        <v>85</v>
      </c>
      <c r="E59" s="159">
        <v>65</v>
      </c>
      <c r="F59" s="73">
        <f t="shared" si="3"/>
        <v>66.5</v>
      </c>
      <c r="G59" s="73">
        <f t="shared" si="3"/>
        <v>59.499999999999993</v>
      </c>
      <c r="H59" s="73">
        <f t="shared" si="3"/>
        <v>45.5</v>
      </c>
      <c r="I59" s="64" t="s">
        <v>35</v>
      </c>
      <c r="J59" s="66" t="s">
        <v>602</v>
      </c>
      <c r="K59" s="73">
        <f>C59*1.1</f>
        <v>104.50000000000001</v>
      </c>
      <c r="L59" s="73">
        <f>D59*1.1</f>
        <v>93.500000000000014</v>
      </c>
      <c r="M59" s="73">
        <f>E59*1.1</f>
        <v>71.5</v>
      </c>
      <c r="N59" s="73">
        <f t="shared" si="1"/>
        <v>73.150000000000006</v>
      </c>
      <c r="O59" s="73">
        <f t="shared" si="1"/>
        <v>65.45</v>
      </c>
      <c r="P59" s="73">
        <f t="shared" si="1"/>
        <v>50.05</v>
      </c>
      <c r="Q59" s="73">
        <f t="shared" si="2"/>
        <v>10.000000000000014</v>
      </c>
      <c r="R59" s="73">
        <f t="shared" si="2"/>
        <v>10.000000000000014</v>
      </c>
      <c r="S59" s="73">
        <f t="shared" si="2"/>
        <v>9.9999999999999858</v>
      </c>
      <c r="T59" s="33"/>
      <c r="U59" s="33"/>
    </row>
    <row r="60" spans="1:21" s="30" customFormat="1" ht="31.5" customHeight="1" x14ac:dyDescent="0.25">
      <c r="A60" s="64"/>
      <c r="B60" s="66"/>
      <c r="C60" s="87"/>
      <c r="D60" s="159"/>
      <c r="E60" s="159"/>
      <c r="F60" s="73"/>
      <c r="G60" s="73"/>
      <c r="H60" s="73"/>
      <c r="I60" s="64" t="s">
        <v>36</v>
      </c>
      <c r="J60" s="66" t="s">
        <v>928</v>
      </c>
      <c r="K60" s="73">
        <v>110</v>
      </c>
      <c r="L60" s="73">
        <v>100</v>
      </c>
      <c r="M60" s="73">
        <v>90</v>
      </c>
      <c r="N60" s="73">
        <f t="shared" si="1"/>
        <v>77</v>
      </c>
      <c r="O60" s="73">
        <f t="shared" si="1"/>
        <v>70</v>
      </c>
      <c r="P60" s="73">
        <f t="shared" si="1"/>
        <v>62.999999999999993</v>
      </c>
      <c r="Q60" s="73"/>
      <c r="R60" s="73"/>
      <c r="S60" s="73"/>
      <c r="T60" s="33"/>
      <c r="U60" s="33"/>
    </row>
    <row r="61" spans="1:21" s="30" customFormat="1" ht="39" customHeight="1" x14ac:dyDescent="0.25">
      <c r="A61" s="64">
        <v>2</v>
      </c>
      <c r="B61" s="66" t="s">
        <v>603</v>
      </c>
      <c r="C61" s="87">
        <v>80</v>
      </c>
      <c r="D61" s="159">
        <v>60</v>
      </c>
      <c r="E61" s="160">
        <v>55</v>
      </c>
      <c r="F61" s="73">
        <f t="shared" si="3"/>
        <v>56</v>
      </c>
      <c r="G61" s="73">
        <f t="shared" si="3"/>
        <v>42</v>
      </c>
      <c r="H61" s="73">
        <f t="shared" si="3"/>
        <v>38.5</v>
      </c>
      <c r="I61" s="64" t="s">
        <v>37</v>
      </c>
      <c r="J61" s="66" t="s">
        <v>604</v>
      </c>
      <c r="K61" s="73">
        <f t="shared" ref="K61:M62" si="5">C61*1.1</f>
        <v>88</v>
      </c>
      <c r="L61" s="73">
        <f t="shared" si="5"/>
        <v>66</v>
      </c>
      <c r="M61" s="73">
        <f t="shared" si="5"/>
        <v>60.500000000000007</v>
      </c>
      <c r="N61" s="73">
        <f t="shared" si="1"/>
        <v>61.599999999999994</v>
      </c>
      <c r="O61" s="73">
        <f t="shared" si="1"/>
        <v>46.199999999999996</v>
      </c>
      <c r="P61" s="73">
        <f t="shared" si="1"/>
        <v>42.35</v>
      </c>
      <c r="Q61" s="73">
        <f t="shared" si="2"/>
        <v>9.9999999999999858</v>
      </c>
      <c r="R61" s="73">
        <f t="shared" si="2"/>
        <v>9.9999999999999858</v>
      </c>
      <c r="S61" s="73">
        <f t="shared" si="2"/>
        <v>10.000000000000014</v>
      </c>
      <c r="T61" s="33"/>
      <c r="U61" s="33"/>
    </row>
    <row r="62" spans="1:21" s="30" customFormat="1" ht="30" customHeight="1" x14ac:dyDescent="0.25">
      <c r="A62" s="64">
        <v>3</v>
      </c>
      <c r="B62" s="66" t="s">
        <v>605</v>
      </c>
      <c r="C62" s="87">
        <v>80</v>
      </c>
      <c r="D62" s="159">
        <v>60</v>
      </c>
      <c r="E62" s="160">
        <v>50</v>
      </c>
      <c r="F62" s="73">
        <f t="shared" si="3"/>
        <v>56</v>
      </c>
      <c r="G62" s="73">
        <f t="shared" si="3"/>
        <v>42</v>
      </c>
      <c r="H62" s="73">
        <f t="shared" si="3"/>
        <v>35</v>
      </c>
      <c r="I62" s="64" t="s">
        <v>38</v>
      </c>
      <c r="J62" s="86" t="s">
        <v>606</v>
      </c>
      <c r="K62" s="73">
        <f t="shared" si="5"/>
        <v>88</v>
      </c>
      <c r="L62" s="73">
        <f t="shared" si="5"/>
        <v>66</v>
      </c>
      <c r="M62" s="73">
        <f t="shared" si="5"/>
        <v>55.000000000000007</v>
      </c>
      <c r="N62" s="73">
        <f t="shared" si="1"/>
        <v>61.599999999999994</v>
      </c>
      <c r="O62" s="73">
        <f t="shared" si="1"/>
        <v>46.199999999999996</v>
      </c>
      <c r="P62" s="73">
        <f t="shared" si="1"/>
        <v>38.5</v>
      </c>
      <c r="Q62" s="73">
        <f t="shared" si="2"/>
        <v>9.9999999999999858</v>
      </c>
      <c r="R62" s="73">
        <f t="shared" si="2"/>
        <v>9.9999999999999858</v>
      </c>
      <c r="S62" s="73">
        <f t="shared" si="2"/>
        <v>10.000000000000014</v>
      </c>
      <c r="T62" s="33"/>
      <c r="U62" s="33"/>
    </row>
    <row r="63" spans="1:21" s="30" customFormat="1" ht="30" customHeight="1" x14ac:dyDescent="0.25">
      <c r="A63" s="64"/>
      <c r="B63" s="62" t="s">
        <v>929</v>
      </c>
      <c r="C63" s="87"/>
      <c r="D63" s="159"/>
      <c r="E63" s="160"/>
      <c r="F63" s="73">
        <f t="shared" si="3"/>
        <v>0</v>
      </c>
      <c r="G63" s="73">
        <f t="shared" si="3"/>
        <v>0</v>
      </c>
      <c r="H63" s="73">
        <f t="shared" si="3"/>
        <v>0</v>
      </c>
      <c r="I63" s="64"/>
      <c r="J63" s="62" t="s">
        <v>929</v>
      </c>
      <c r="K63" s="73"/>
      <c r="L63" s="73"/>
      <c r="M63" s="73"/>
      <c r="N63" s="73"/>
      <c r="O63" s="73"/>
      <c r="P63" s="73"/>
      <c r="Q63" s="73"/>
      <c r="R63" s="73"/>
      <c r="S63" s="73"/>
    </row>
    <row r="64" spans="1:21" s="30" customFormat="1" ht="41.25" customHeight="1" x14ac:dyDescent="0.25">
      <c r="A64" s="64" t="s">
        <v>43</v>
      </c>
      <c r="B64" s="66" t="s">
        <v>607</v>
      </c>
      <c r="C64" s="87">
        <v>95</v>
      </c>
      <c r="D64" s="159">
        <v>85</v>
      </c>
      <c r="E64" s="159">
        <v>65</v>
      </c>
      <c r="F64" s="73">
        <f t="shared" si="3"/>
        <v>66.5</v>
      </c>
      <c r="G64" s="73">
        <f t="shared" si="3"/>
        <v>59.499999999999993</v>
      </c>
      <c r="H64" s="73">
        <f t="shared" si="3"/>
        <v>45.5</v>
      </c>
      <c r="I64" s="64" t="s">
        <v>43</v>
      </c>
      <c r="J64" s="66" t="s">
        <v>607</v>
      </c>
      <c r="K64" s="73">
        <f t="shared" ref="K64:M66" si="6">C64*1.1</f>
        <v>104.50000000000001</v>
      </c>
      <c r="L64" s="73">
        <f t="shared" si="6"/>
        <v>93.500000000000014</v>
      </c>
      <c r="M64" s="73">
        <f t="shared" si="6"/>
        <v>71.5</v>
      </c>
      <c r="N64" s="73">
        <f t="shared" si="1"/>
        <v>73.150000000000006</v>
      </c>
      <c r="O64" s="73">
        <f t="shared" si="1"/>
        <v>65.45</v>
      </c>
      <c r="P64" s="73">
        <f t="shared" si="1"/>
        <v>50.05</v>
      </c>
      <c r="Q64" s="73">
        <f t="shared" si="2"/>
        <v>10.000000000000014</v>
      </c>
      <c r="R64" s="73">
        <f t="shared" si="2"/>
        <v>10.000000000000014</v>
      </c>
      <c r="S64" s="73">
        <f t="shared" si="2"/>
        <v>9.9999999999999858</v>
      </c>
    </row>
    <row r="65" spans="1:19" s="30" customFormat="1" ht="38.25" customHeight="1" x14ac:dyDescent="0.25">
      <c r="A65" s="64" t="s">
        <v>44</v>
      </c>
      <c r="B65" s="66" t="s">
        <v>608</v>
      </c>
      <c r="C65" s="87">
        <v>80</v>
      </c>
      <c r="D65" s="159">
        <v>70</v>
      </c>
      <c r="E65" s="160">
        <v>60</v>
      </c>
      <c r="F65" s="73">
        <f t="shared" si="3"/>
        <v>56</v>
      </c>
      <c r="G65" s="73">
        <f t="shared" si="3"/>
        <v>49</v>
      </c>
      <c r="H65" s="73">
        <f t="shared" si="3"/>
        <v>42</v>
      </c>
      <c r="I65" s="64" t="s">
        <v>44</v>
      </c>
      <c r="J65" s="66" t="s">
        <v>609</v>
      </c>
      <c r="K65" s="73">
        <f t="shared" si="6"/>
        <v>88</v>
      </c>
      <c r="L65" s="73">
        <f t="shared" si="6"/>
        <v>77</v>
      </c>
      <c r="M65" s="73">
        <f t="shared" si="6"/>
        <v>66</v>
      </c>
      <c r="N65" s="73">
        <f t="shared" si="1"/>
        <v>61.599999999999994</v>
      </c>
      <c r="O65" s="73">
        <f t="shared" si="1"/>
        <v>53.9</v>
      </c>
      <c r="P65" s="73">
        <f t="shared" si="1"/>
        <v>46.199999999999996</v>
      </c>
      <c r="Q65" s="73">
        <f t="shared" si="2"/>
        <v>9.9999999999999858</v>
      </c>
      <c r="R65" s="73">
        <f t="shared" si="2"/>
        <v>9.9999999999999858</v>
      </c>
      <c r="S65" s="73">
        <f t="shared" si="2"/>
        <v>9.9999999999999858</v>
      </c>
    </row>
    <row r="66" spans="1:19" s="30" customFormat="1" ht="29.25" customHeight="1" x14ac:dyDescent="0.25">
      <c r="A66" s="64" t="s">
        <v>45</v>
      </c>
      <c r="B66" s="66" t="s">
        <v>610</v>
      </c>
      <c r="C66" s="87">
        <v>80</v>
      </c>
      <c r="D66" s="159">
        <v>70</v>
      </c>
      <c r="E66" s="160">
        <v>60</v>
      </c>
      <c r="F66" s="73">
        <f t="shared" si="3"/>
        <v>56</v>
      </c>
      <c r="G66" s="73">
        <f t="shared" si="3"/>
        <v>49</v>
      </c>
      <c r="H66" s="73">
        <f t="shared" si="3"/>
        <v>42</v>
      </c>
      <c r="I66" s="64" t="s">
        <v>45</v>
      </c>
      <c r="J66" s="66" t="s">
        <v>610</v>
      </c>
      <c r="K66" s="73">
        <f t="shared" si="6"/>
        <v>88</v>
      </c>
      <c r="L66" s="73">
        <f t="shared" si="6"/>
        <v>77</v>
      </c>
      <c r="M66" s="73">
        <f t="shared" si="6"/>
        <v>66</v>
      </c>
      <c r="N66" s="73">
        <f t="shared" si="1"/>
        <v>61.599999999999994</v>
      </c>
      <c r="O66" s="73">
        <f t="shared" si="1"/>
        <v>53.9</v>
      </c>
      <c r="P66" s="73">
        <f t="shared" si="1"/>
        <v>46.199999999999996</v>
      </c>
      <c r="Q66" s="73">
        <f t="shared" si="2"/>
        <v>9.9999999999999858</v>
      </c>
      <c r="R66" s="73">
        <f t="shared" si="2"/>
        <v>9.9999999999999858</v>
      </c>
      <c r="S66" s="73">
        <f t="shared" si="2"/>
        <v>9.9999999999999858</v>
      </c>
    </row>
    <row r="67" spans="1:19" s="30" customFormat="1" ht="16.5" x14ac:dyDescent="0.25">
      <c r="A67" s="64"/>
      <c r="B67" s="66"/>
      <c r="C67" s="87"/>
      <c r="D67" s="159"/>
      <c r="E67" s="160"/>
      <c r="F67" s="73"/>
      <c r="G67" s="73"/>
      <c r="H67" s="73"/>
      <c r="I67" s="64" t="s">
        <v>128</v>
      </c>
      <c r="J67" s="66" t="s">
        <v>611</v>
      </c>
      <c r="K67" s="73">
        <v>80</v>
      </c>
      <c r="L67" s="73">
        <v>60</v>
      </c>
      <c r="M67" s="73">
        <v>50</v>
      </c>
      <c r="N67" s="73">
        <f t="shared" si="1"/>
        <v>56</v>
      </c>
      <c r="O67" s="73">
        <f t="shared" si="1"/>
        <v>42</v>
      </c>
      <c r="P67" s="73">
        <f t="shared" si="1"/>
        <v>35</v>
      </c>
      <c r="Q67" s="73"/>
      <c r="R67" s="73"/>
      <c r="S67" s="73"/>
    </row>
    <row r="68" spans="1:19" s="30" customFormat="1" ht="32.25" customHeight="1" x14ac:dyDescent="0.25">
      <c r="A68" s="64"/>
      <c r="B68" s="62" t="s">
        <v>930</v>
      </c>
      <c r="C68" s="87"/>
      <c r="D68" s="157"/>
      <c r="E68" s="157"/>
      <c r="F68" s="73">
        <f t="shared" si="3"/>
        <v>0</v>
      </c>
      <c r="G68" s="73">
        <f t="shared" si="3"/>
        <v>0</v>
      </c>
      <c r="H68" s="73">
        <f t="shared" si="3"/>
        <v>0</v>
      </c>
      <c r="I68" s="64"/>
      <c r="J68" s="62" t="s">
        <v>930</v>
      </c>
      <c r="K68" s="73"/>
      <c r="L68" s="158"/>
      <c r="M68" s="158"/>
      <c r="N68" s="73"/>
      <c r="O68" s="73"/>
      <c r="P68" s="73"/>
      <c r="Q68" s="73"/>
      <c r="R68" s="73"/>
      <c r="S68" s="73"/>
    </row>
    <row r="69" spans="1:19" s="30" customFormat="1" ht="27" customHeight="1" x14ac:dyDescent="0.25">
      <c r="A69" s="64" t="s">
        <v>141</v>
      </c>
      <c r="B69" s="66" t="s">
        <v>612</v>
      </c>
      <c r="C69" s="87">
        <v>95</v>
      </c>
      <c r="D69" s="159">
        <v>85</v>
      </c>
      <c r="E69" s="159">
        <v>65</v>
      </c>
      <c r="F69" s="73">
        <f t="shared" si="3"/>
        <v>66.5</v>
      </c>
      <c r="G69" s="73">
        <f t="shared" si="3"/>
        <v>59.499999999999993</v>
      </c>
      <c r="H69" s="73">
        <f t="shared" si="3"/>
        <v>45.5</v>
      </c>
      <c r="I69" s="64" t="s">
        <v>141</v>
      </c>
      <c r="J69" s="66" t="s">
        <v>931</v>
      </c>
      <c r="K69" s="73">
        <f t="shared" ref="K69:M71" si="7">C69*1.1</f>
        <v>104.50000000000001</v>
      </c>
      <c r="L69" s="73">
        <f t="shared" si="7"/>
        <v>93.500000000000014</v>
      </c>
      <c r="M69" s="73">
        <f t="shared" si="7"/>
        <v>71.5</v>
      </c>
      <c r="N69" s="73">
        <f t="shared" si="1"/>
        <v>73.150000000000006</v>
      </c>
      <c r="O69" s="73">
        <f t="shared" si="1"/>
        <v>65.45</v>
      </c>
      <c r="P69" s="73">
        <f t="shared" si="1"/>
        <v>50.05</v>
      </c>
      <c r="Q69" s="73">
        <f t="shared" si="2"/>
        <v>10.000000000000014</v>
      </c>
      <c r="R69" s="73">
        <f t="shared" si="2"/>
        <v>10.000000000000014</v>
      </c>
      <c r="S69" s="73">
        <f t="shared" si="2"/>
        <v>9.9999999999999858</v>
      </c>
    </row>
    <row r="70" spans="1:19" s="30" customFormat="1" ht="39.75" customHeight="1" x14ac:dyDescent="0.25">
      <c r="A70" s="64" t="s">
        <v>142</v>
      </c>
      <c r="B70" s="66" t="s">
        <v>613</v>
      </c>
      <c r="C70" s="87">
        <v>80</v>
      </c>
      <c r="D70" s="159">
        <v>65</v>
      </c>
      <c r="E70" s="160">
        <v>55</v>
      </c>
      <c r="F70" s="73">
        <f t="shared" si="3"/>
        <v>56</v>
      </c>
      <c r="G70" s="73">
        <f t="shared" si="3"/>
        <v>45.5</v>
      </c>
      <c r="H70" s="73">
        <f t="shared" si="3"/>
        <v>38.5</v>
      </c>
      <c r="I70" s="64" t="s">
        <v>142</v>
      </c>
      <c r="J70" s="66" t="s">
        <v>932</v>
      </c>
      <c r="K70" s="73">
        <f t="shared" si="7"/>
        <v>88</v>
      </c>
      <c r="L70" s="73">
        <f t="shared" si="7"/>
        <v>71.5</v>
      </c>
      <c r="M70" s="73">
        <f t="shared" si="7"/>
        <v>60.500000000000007</v>
      </c>
      <c r="N70" s="73">
        <f t="shared" si="1"/>
        <v>61.599999999999994</v>
      </c>
      <c r="O70" s="73">
        <f t="shared" si="1"/>
        <v>50.05</v>
      </c>
      <c r="P70" s="73">
        <f t="shared" si="1"/>
        <v>42.35</v>
      </c>
      <c r="Q70" s="73">
        <f t="shared" si="2"/>
        <v>9.9999999999999858</v>
      </c>
      <c r="R70" s="73">
        <f t="shared" si="2"/>
        <v>9.9999999999999858</v>
      </c>
      <c r="S70" s="73">
        <f t="shared" si="2"/>
        <v>10.000000000000014</v>
      </c>
    </row>
    <row r="71" spans="1:19" s="30" customFormat="1" ht="38.25" customHeight="1" x14ac:dyDescent="0.25">
      <c r="A71" s="64" t="s">
        <v>143</v>
      </c>
      <c r="B71" s="66" t="s">
        <v>614</v>
      </c>
      <c r="C71" s="87">
        <v>80</v>
      </c>
      <c r="D71" s="159">
        <v>70</v>
      </c>
      <c r="E71" s="160">
        <v>60</v>
      </c>
      <c r="F71" s="73">
        <f t="shared" si="3"/>
        <v>56</v>
      </c>
      <c r="G71" s="73">
        <f t="shared" si="3"/>
        <v>49</v>
      </c>
      <c r="H71" s="73">
        <f t="shared" si="3"/>
        <v>42</v>
      </c>
      <c r="I71" s="64" t="s">
        <v>143</v>
      </c>
      <c r="J71" s="66" t="s">
        <v>614</v>
      </c>
      <c r="K71" s="73">
        <f t="shared" si="7"/>
        <v>88</v>
      </c>
      <c r="L71" s="73">
        <f t="shared" si="7"/>
        <v>77</v>
      </c>
      <c r="M71" s="73">
        <f t="shared" si="7"/>
        <v>66</v>
      </c>
      <c r="N71" s="73">
        <f t="shared" ref="N71:P91" si="8">K71*70%</f>
        <v>61.599999999999994</v>
      </c>
      <c r="O71" s="73">
        <f t="shared" si="8"/>
        <v>53.9</v>
      </c>
      <c r="P71" s="73">
        <f t="shared" si="8"/>
        <v>46.199999999999996</v>
      </c>
      <c r="Q71" s="73">
        <f t="shared" ref="Q71:S92" si="9">N71/F71*100-100</f>
        <v>9.9999999999999858</v>
      </c>
      <c r="R71" s="73">
        <f t="shared" si="9"/>
        <v>9.9999999999999858</v>
      </c>
      <c r="S71" s="73">
        <f t="shared" si="9"/>
        <v>9.9999999999999858</v>
      </c>
    </row>
    <row r="72" spans="1:19" s="30" customFormat="1" ht="21.75" customHeight="1" x14ac:dyDescent="0.25">
      <c r="A72" s="64"/>
      <c r="B72" s="62" t="s">
        <v>933</v>
      </c>
      <c r="C72" s="87"/>
      <c r="D72" s="91"/>
      <c r="E72" s="91"/>
      <c r="F72" s="73">
        <f t="shared" si="3"/>
        <v>0</v>
      </c>
      <c r="G72" s="73">
        <f t="shared" si="3"/>
        <v>0</v>
      </c>
      <c r="H72" s="73">
        <f t="shared" si="3"/>
        <v>0</v>
      </c>
      <c r="I72" s="64"/>
      <c r="J72" s="62" t="s">
        <v>933</v>
      </c>
      <c r="K72" s="73"/>
      <c r="L72" s="73"/>
      <c r="M72" s="73"/>
      <c r="N72" s="73"/>
      <c r="O72" s="73"/>
      <c r="P72" s="73"/>
      <c r="Q72" s="73"/>
      <c r="R72" s="73"/>
      <c r="S72" s="73"/>
    </row>
    <row r="73" spans="1:19" s="30" customFormat="1" ht="61.5" customHeight="1" x14ac:dyDescent="0.25">
      <c r="A73" s="64" t="s">
        <v>13</v>
      </c>
      <c r="B73" s="66" t="s">
        <v>615</v>
      </c>
      <c r="C73" s="87">
        <v>95</v>
      </c>
      <c r="D73" s="159">
        <v>75</v>
      </c>
      <c r="E73" s="160">
        <v>60</v>
      </c>
      <c r="F73" s="73">
        <f t="shared" si="3"/>
        <v>66.5</v>
      </c>
      <c r="G73" s="73">
        <f t="shared" si="3"/>
        <v>52.5</v>
      </c>
      <c r="H73" s="73">
        <f t="shared" si="3"/>
        <v>42</v>
      </c>
      <c r="I73" s="64" t="s">
        <v>13</v>
      </c>
      <c r="J73" s="66" t="s">
        <v>615</v>
      </c>
      <c r="K73" s="73">
        <f>C73*1.1</f>
        <v>104.50000000000001</v>
      </c>
      <c r="L73" s="73">
        <f>D73*1.1</f>
        <v>82.5</v>
      </c>
      <c r="M73" s="73">
        <f>E73*1.1</f>
        <v>66</v>
      </c>
      <c r="N73" s="73">
        <f t="shared" si="8"/>
        <v>73.150000000000006</v>
      </c>
      <c r="O73" s="73">
        <f t="shared" si="8"/>
        <v>57.749999999999993</v>
      </c>
      <c r="P73" s="73">
        <f t="shared" si="8"/>
        <v>46.199999999999996</v>
      </c>
      <c r="Q73" s="73">
        <f t="shared" si="9"/>
        <v>10.000000000000014</v>
      </c>
      <c r="R73" s="73">
        <f t="shared" si="9"/>
        <v>9.9999999999999858</v>
      </c>
      <c r="S73" s="73">
        <f t="shared" si="9"/>
        <v>9.9999999999999858</v>
      </c>
    </row>
    <row r="74" spans="1:19" s="30" customFormat="1" ht="52.5" customHeight="1" x14ac:dyDescent="0.25">
      <c r="A74" s="64" t="s">
        <v>15</v>
      </c>
      <c r="B74" s="66" t="s">
        <v>616</v>
      </c>
      <c r="C74" s="87">
        <v>140</v>
      </c>
      <c r="D74" s="157">
        <v>100</v>
      </c>
      <c r="E74" s="157">
        <v>85</v>
      </c>
      <c r="F74" s="73">
        <f t="shared" si="3"/>
        <v>98</v>
      </c>
      <c r="G74" s="73">
        <f t="shared" si="3"/>
        <v>70</v>
      </c>
      <c r="H74" s="73">
        <f t="shared" si="3"/>
        <v>59.499999999999993</v>
      </c>
      <c r="I74" s="64" t="s">
        <v>15</v>
      </c>
      <c r="J74" s="66" t="s">
        <v>934</v>
      </c>
      <c r="K74" s="73">
        <f>C74*1.3</f>
        <v>182</v>
      </c>
      <c r="L74" s="73">
        <f>D74*1.2</f>
        <v>120</v>
      </c>
      <c r="M74" s="73">
        <f>E74*1.1</f>
        <v>93.500000000000014</v>
      </c>
      <c r="N74" s="73">
        <f t="shared" si="8"/>
        <v>127.39999999999999</v>
      </c>
      <c r="O74" s="73">
        <f t="shared" si="8"/>
        <v>84</v>
      </c>
      <c r="P74" s="73">
        <f t="shared" si="8"/>
        <v>65.45</v>
      </c>
      <c r="Q74" s="73">
        <f t="shared" si="9"/>
        <v>29.999999999999972</v>
      </c>
      <c r="R74" s="73">
        <f t="shared" si="9"/>
        <v>20</v>
      </c>
      <c r="S74" s="73">
        <f t="shared" si="9"/>
        <v>10.000000000000014</v>
      </c>
    </row>
    <row r="75" spans="1:19" s="30" customFormat="1" ht="45.75" customHeight="1" x14ac:dyDescent="0.25">
      <c r="A75" s="64" t="s">
        <v>16</v>
      </c>
      <c r="B75" s="66" t="s">
        <v>617</v>
      </c>
      <c r="C75" s="87">
        <v>95</v>
      </c>
      <c r="D75" s="159">
        <v>80</v>
      </c>
      <c r="E75" s="160">
        <v>60</v>
      </c>
      <c r="F75" s="73">
        <f t="shared" si="3"/>
        <v>66.5</v>
      </c>
      <c r="G75" s="73">
        <f t="shared" si="3"/>
        <v>56</v>
      </c>
      <c r="H75" s="73">
        <f t="shared" si="3"/>
        <v>42</v>
      </c>
      <c r="I75" s="64" t="s">
        <v>16</v>
      </c>
      <c r="J75" s="66" t="s">
        <v>935</v>
      </c>
      <c r="K75" s="73">
        <f t="shared" ref="K75:L77" si="10">C75*1.1</f>
        <v>104.50000000000001</v>
      </c>
      <c r="L75" s="73">
        <f t="shared" si="10"/>
        <v>88</v>
      </c>
      <c r="M75" s="73">
        <f>E75*1.1</f>
        <v>66</v>
      </c>
      <c r="N75" s="73">
        <f t="shared" si="8"/>
        <v>73.150000000000006</v>
      </c>
      <c r="O75" s="73">
        <f t="shared" si="8"/>
        <v>61.599999999999994</v>
      </c>
      <c r="P75" s="73">
        <f t="shared" si="8"/>
        <v>46.199999999999996</v>
      </c>
      <c r="Q75" s="73">
        <f t="shared" si="9"/>
        <v>10.000000000000014</v>
      </c>
      <c r="R75" s="73">
        <f t="shared" si="9"/>
        <v>9.9999999999999858</v>
      </c>
      <c r="S75" s="73">
        <f t="shared" si="9"/>
        <v>9.9999999999999858</v>
      </c>
    </row>
    <row r="76" spans="1:19" s="30" customFormat="1" ht="52.5" customHeight="1" x14ac:dyDescent="0.25">
      <c r="A76" s="64" t="s">
        <v>155</v>
      </c>
      <c r="B76" s="66" t="s">
        <v>618</v>
      </c>
      <c r="C76" s="87">
        <v>95</v>
      </c>
      <c r="D76" s="159">
        <v>80</v>
      </c>
      <c r="E76" s="160">
        <v>60</v>
      </c>
      <c r="F76" s="73">
        <f t="shared" si="3"/>
        <v>66.5</v>
      </c>
      <c r="G76" s="73">
        <f t="shared" si="3"/>
        <v>56</v>
      </c>
      <c r="H76" s="73">
        <f t="shared" si="3"/>
        <v>42</v>
      </c>
      <c r="I76" s="64" t="s">
        <v>155</v>
      </c>
      <c r="J76" s="66" t="s">
        <v>936</v>
      </c>
      <c r="K76" s="73">
        <f t="shared" si="10"/>
        <v>104.50000000000001</v>
      </c>
      <c r="L76" s="73">
        <f t="shared" si="10"/>
        <v>88</v>
      </c>
      <c r="M76" s="73">
        <f>E76*1.1</f>
        <v>66</v>
      </c>
      <c r="N76" s="73">
        <f t="shared" si="8"/>
        <v>73.150000000000006</v>
      </c>
      <c r="O76" s="73">
        <f t="shared" si="8"/>
        <v>61.599999999999994</v>
      </c>
      <c r="P76" s="73">
        <f t="shared" si="8"/>
        <v>46.199999999999996</v>
      </c>
      <c r="Q76" s="73">
        <f t="shared" si="9"/>
        <v>10.000000000000014</v>
      </c>
      <c r="R76" s="73">
        <f t="shared" si="9"/>
        <v>9.9999999999999858</v>
      </c>
      <c r="S76" s="73">
        <f t="shared" si="9"/>
        <v>9.9999999999999858</v>
      </c>
    </row>
    <row r="77" spans="1:19" s="30" customFormat="1" ht="42.75" customHeight="1" x14ac:dyDescent="0.25">
      <c r="A77" s="64" t="s">
        <v>157</v>
      </c>
      <c r="B77" s="66" t="s">
        <v>601</v>
      </c>
      <c r="C77" s="87">
        <v>80</v>
      </c>
      <c r="D77" s="159">
        <v>70</v>
      </c>
      <c r="E77" s="159">
        <v>55</v>
      </c>
      <c r="F77" s="73">
        <f t="shared" si="3"/>
        <v>56</v>
      </c>
      <c r="G77" s="73">
        <f t="shared" si="3"/>
        <v>49</v>
      </c>
      <c r="H77" s="73">
        <f t="shared" si="3"/>
        <v>38.5</v>
      </c>
      <c r="I77" s="64" t="s">
        <v>157</v>
      </c>
      <c r="J77" s="66" t="s">
        <v>601</v>
      </c>
      <c r="K77" s="73">
        <f t="shared" si="10"/>
        <v>88</v>
      </c>
      <c r="L77" s="73">
        <f t="shared" si="10"/>
        <v>77</v>
      </c>
      <c r="M77" s="73">
        <f>E77*1.1</f>
        <v>60.500000000000007</v>
      </c>
      <c r="N77" s="73">
        <f t="shared" si="8"/>
        <v>61.599999999999994</v>
      </c>
      <c r="O77" s="73">
        <f t="shared" si="8"/>
        <v>53.9</v>
      </c>
      <c r="P77" s="73">
        <f t="shared" si="8"/>
        <v>42.35</v>
      </c>
      <c r="Q77" s="73">
        <f t="shared" si="9"/>
        <v>9.9999999999999858</v>
      </c>
      <c r="R77" s="73">
        <f t="shared" si="9"/>
        <v>9.9999999999999858</v>
      </c>
      <c r="S77" s="73">
        <f t="shared" si="9"/>
        <v>10.000000000000014</v>
      </c>
    </row>
    <row r="78" spans="1:19" s="30" customFormat="1" ht="30" customHeight="1" x14ac:dyDescent="0.25">
      <c r="A78" s="64"/>
      <c r="B78" s="62" t="s">
        <v>937</v>
      </c>
      <c r="C78" s="87"/>
      <c r="D78" s="159"/>
      <c r="E78" s="160"/>
      <c r="F78" s="73">
        <f t="shared" si="3"/>
        <v>0</v>
      </c>
      <c r="G78" s="73">
        <f t="shared" si="3"/>
        <v>0</v>
      </c>
      <c r="H78" s="73">
        <f t="shared" si="3"/>
        <v>0</v>
      </c>
      <c r="I78" s="64"/>
      <c r="J78" s="62" t="s">
        <v>937</v>
      </c>
      <c r="K78" s="73"/>
      <c r="L78" s="73"/>
      <c r="M78" s="73"/>
      <c r="N78" s="73"/>
      <c r="O78" s="73"/>
      <c r="P78" s="73"/>
      <c r="Q78" s="73"/>
      <c r="R78" s="73"/>
      <c r="S78" s="73"/>
    </row>
    <row r="79" spans="1:19" s="30" customFormat="1" ht="40.5" customHeight="1" x14ac:dyDescent="0.25">
      <c r="A79" s="64" t="s">
        <v>159</v>
      </c>
      <c r="B79" s="66" t="s">
        <v>619</v>
      </c>
      <c r="C79" s="167">
        <v>90</v>
      </c>
      <c r="D79" s="168">
        <v>80</v>
      </c>
      <c r="E79" s="169">
        <v>70</v>
      </c>
      <c r="F79" s="73">
        <f t="shared" si="3"/>
        <v>62.999999999999993</v>
      </c>
      <c r="G79" s="73">
        <f t="shared" si="3"/>
        <v>56</v>
      </c>
      <c r="H79" s="73">
        <f t="shared" si="3"/>
        <v>49</v>
      </c>
      <c r="I79" s="64" t="s">
        <v>159</v>
      </c>
      <c r="J79" s="66" t="s">
        <v>619</v>
      </c>
      <c r="K79" s="73">
        <f t="shared" ref="K79:M82" si="11">C79*1.1</f>
        <v>99.000000000000014</v>
      </c>
      <c r="L79" s="73">
        <f t="shared" si="11"/>
        <v>88</v>
      </c>
      <c r="M79" s="73">
        <f t="shared" si="11"/>
        <v>77</v>
      </c>
      <c r="N79" s="73">
        <f t="shared" si="8"/>
        <v>69.300000000000011</v>
      </c>
      <c r="O79" s="73">
        <f t="shared" si="8"/>
        <v>61.599999999999994</v>
      </c>
      <c r="P79" s="73">
        <f t="shared" si="8"/>
        <v>53.9</v>
      </c>
      <c r="Q79" s="73">
        <f t="shared" si="9"/>
        <v>10.000000000000028</v>
      </c>
      <c r="R79" s="73">
        <f t="shared" si="9"/>
        <v>9.9999999999999858</v>
      </c>
      <c r="S79" s="73">
        <f t="shared" si="9"/>
        <v>9.9999999999999858</v>
      </c>
    </row>
    <row r="80" spans="1:19" s="30" customFormat="1" ht="40.5" customHeight="1" x14ac:dyDescent="0.25">
      <c r="A80" s="64" t="s">
        <v>160</v>
      </c>
      <c r="B80" s="66" t="s">
        <v>620</v>
      </c>
      <c r="C80" s="167">
        <v>120</v>
      </c>
      <c r="D80" s="168">
        <v>100</v>
      </c>
      <c r="E80" s="169">
        <v>90</v>
      </c>
      <c r="F80" s="73">
        <f t="shared" si="3"/>
        <v>84</v>
      </c>
      <c r="G80" s="73">
        <f t="shared" si="3"/>
        <v>70</v>
      </c>
      <c r="H80" s="73">
        <f t="shared" si="3"/>
        <v>62.999999999999993</v>
      </c>
      <c r="I80" s="64" t="s">
        <v>160</v>
      </c>
      <c r="J80" s="66" t="s">
        <v>620</v>
      </c>
      <c r="K80" s="73">
        <f t="shared" si="11"/>
        <v>132</v>
      </c>
      <c r="L80" s="73">
        <f t="shared" si="11"/>
        <v>110.00000000000001</v>
      </c>
      <c r="M80" s="73">
        <f t="shared" si="11"/>
        <v>99.000000000000014</v>
      </c>
      <c r="N80" s="73">
        <f t="shared" si="8"/>
        <v>92.399999999999991</v>
      </c>
      <c r="O80" s="73">
        <f t="shared" si="8"/>
        <v>77</v>
      </c>
      <c r="P80" s="73">
        <f t="shared" si="8"/>
        <v>69.300000000000011</v>
      </c>
      <c r="Q80" s="73">
        <f t="shared" si="9"/>
        <v>9.9999999999999858</v>
      </c>
      <c r="R80" s="73">
        <f t="shared" si="9"/>
        <v>10.000000000000014</v>
      </c>
      <c r="S80" s="73">
        <f t="shared" si="9"/>
        <v>10.000000000000028</v>
      </c>
    </row>
    <row r="81" spans="1:23" s="30" customFormat="1" ht="40.5" customHeight="1" x14ac:dyDescent="0.25">
      <c r="A81" s="64" t="s">
        <v>161</v>
      </c>
      <c r="B81" s="66" t="s">
        <v>621</v>
      </c>
      <c r="C81" s="167">
        <v>90</v>
      </c>
      <c r="D81" s="168">
        <v>80</v>
      </c>
      <c r="E81" s="169">
        <v>70</v>
      </c>
      <c r="F81" s="73">
        <f t="shared" si="3"/>
        <v>62.999999999999993</v>
      </c>
      <c r="G81" s="73">
        <f t="shared" si="3"/>
        <v>56</v>
      </c>
      <c r="H81" s="73">
        <f t="shared" si="3"/>
        <v>49</v>
      </c>
      <c r="I81" s="64" t="s">
        <v>161</v>
      </c>
      <c r="J81" s="66" t="s">
        <v>621</v>
      </c>
      <c r="K81" s="73">
        <f t="shared" si="11"/>
        <v>99.000000000000014</v>
      </c>
      <c r="L81" s="73">
        <f t="shared" si="11"/>
        <v>88</v>
      </c>
      <c r="M81" s="73">
        <f t="shared" si="11"/>
        <v>77</v>
      </c>
      <c r="N81" s="73">
        <f t="shared" si="8"/>
        <v>69.300000000000011</v>
      </c>
      <c r="O81" s="73">
        <f t="shared" si="8"/>
        <v>61.599999999999994</v>
      </c>
      <c r="P81" s="73">
        <f t="shared" si="8"/>
        <v>53.9</v>
      </c>
      <c r="Q81" s="73">
        <f t="shared" si="9"/>
        <v>10.000000000000028</v>
      </c>
      <c r="R81" s="73">
        <f t="shared" si="9"/>
        <v>9.9999999999999858</v>
      </c>
      <c r="S81" s="73">
        <f t="shared" si="9"/>
        <v>9.9999999999999858</v>
      </c>
    </row>
    <row r="82" spans="1:23" s="30" customFormat="1" ht="40.5" customHeight="1" x14ac:dyDescent="0.25">
      <c r="A82" s="64" t="s">
        <v>162</v>
      </c>
      <c r="B82" s="66" t="s">
        <v>601</v>
      </c>
      <c r="C82" s="167">
        <v>60</v>
      </c>
      <c r="D82" s="168">
        <v>55</v>
      </c>
      <c r="E82" s="169">
        <v>50</v>
      </c>
      <c r="F82" s="73">
        <f t="shared" si="3"/>
        <v>42</v>
      </c>
      <c r="G82" s="73">
        <f t="shared" si="3"/>
        <v>38.5</v>
      </c>
      <c r="H82" s="73">
        <f t="shared" si="3"/>
        <v>35</v>
      </c>
      <c r="I82" s="64" t="s">
        <v>162</v>
      </c>
      <c r="J82" s="66" t="s">
        <v>601</v>
      </c>
      <c r="K82" s="73">
        <f t="shared" si="11"/>
        <v>66</v>
      </c>
      <c r="L82" s="73">
        <f t="shared" si="11"/>
        <v>60.500000000000007</v>
      </c>
      <c r="M82" s="73">
        <f t="shared" si="11"/>
        <v>55.000000000000007</v>
      </c>
      <c r="N82" s="73">
        <f t="shared" si="8"/>
        <v>46.199999999999996</v>
      </c>
      <c r="O82" s="73">
        <f t="shared" si="8"/>
        <v>42.35</v>
      </c>
      <c r="P82" s="73">
        <f t="shared" si="8"/>
        <v>38.5</v>
      </c>
      <c r="Q82" s="73">
        <f t="shared" si="9"/>
        <v>9.9999999999999858</v>
      </c>
      <c r="R82" s="73">
        <f t="shared" si="9"/>
        <v>10.000000000000014</v>
      </c>
      <c r="S82" s="73">
        <f t="shared" si="9"/>
        <v>10.000000000000014</v>
      </c>
    </row>
    <row r="83" spans="1:23" s="30" customFormat="1" ht="27" customHeight="1" x14ac:dyDescent="0.25">
      <c r="A83" s="170"/>
      <c r="B83" s="62" t="s">
        <v>938</v>
      </c>
      <c r="C83" s="171"/>
      <c r="D83" s="172"/>
      <c r="E83" s="173"/>
      <c r="F83" s="73">
        <f t="shared" si="3"/>
        <v>0</v>
      </c>
      <c r="G83" s="73">
        <f t="shared" si="3"/>
        <v>0</v>
      </c>
      <c r="H83" s="73">
        <f t="shared" si="3"/>
        <v>0</v>
      </c>
      <c r="I83" s="170"/>
      <c r="J83" s="62" t="s">
        <v>938</v>
      </c>
      <c r="K83" s="73"/>
      <c r="L83" s="73"/>
      <c r="M83" s="73"/>
      <c r="N83" s="73"/>
      <c r="O83" s="73"/>
      <c r="P83" s="73"/>
      <c r="Q83" s="73"/>
      <c r="R83" s="73"/>
      <c r="S83" s="73"/>
    </row>
    <row r="84" spans="1:23" s="30" customFormat="1" ht="47.25" customHeight="1" x14ac:dyDescent="0.25">
      <c r="A84" s="174" t="s">
        <v>180</v>
      </c>
      <c r="B84" s="66" t="s">
        <v>622</v>
      </c>
      <c r="C84" s="87" t="s">
        <v>623</v>
      </c>
      <c r="D84" s="87">
        <v>90</v>
      </c>
      <c r="E84" s="87">
        <v>80</v>
      </c>
      <c r="F84" s="73">
        <f t="shared" si="3"/>
        <v>70</v>
      </c>
      <c r="G84" s="73">
        <f t="shared" si="3"/>
        <v>62.999999999999993</v>
      </c>
      <c r="H84" s="73">
        <f t="shared" si="3"/>
        <v>56</v>
      </c>
      <c r="I84" s="174" t="s">
        <v>180</v>
      </c>
      <c r="J84" s="66" t="s">
        <v>622</v>
      </c>
      <c r="K84" s="73">
        <f t="shared" ref="K84:M86" si="12">C84*1.1</f>
        <v>110.00000000000001</v>
      </c>
      <c r="L84" s="73">
        <f t="shared" si="12"/>
        <v>99.000000000000014</v>
      </c>
      <c r="M84" s="73">
        <f t="shared" si="12"/>
        <v>88</v>
      </c>
      <c r="N84" s="73">
        <f t="shared" si="8"/>
        <v>77</v>
      </c>
      <c r="O84" s="73">
        <f t="shared" si="8"/>
        <v>69.300000000000011</v>
      </c>
      <c r="P84" s="73">
        <f t="shared" si="8"/>
        <v>61.599999999999994</v>
      </c>
      <c r="Q84" s="73">
        <f t="shared" si="9"/>
        <v>10.000000000000014</v>
      </c>
      <c r="R84" s="73">
        <f t="shared" si="9"/>
        <v>10.000000000000028</v>
      </c>
      <c r="S84" s="73">
        <f t="shared" si="9"/>
        <v>9.9999999999999858</v>
      </c>
    </row>
    <row r="85" spans="1:23" s="30" customFormat="1" ht="49.5" customHeight="1" x14ac:dyDescent="0.25">
      <c r="A85" s="174" t="s">
        <v>181</v>
      </c>
      <c r="B85" s="66" t="s">
        <v>624</v>
      </c>
      <c r="C85" s="87">
        <v>80</v>
      </c>
      <c r="D85" s="87">
        <v>70</v>
      </c>
      <c r="E85" s="87">
        <v>60</v>
      </c>
      <c r="F85" s="73">
        <f t="shared" si="3"/>
        <v>56</v>
      </c>
      <c r="G85" s="73">
        <f t="shared" si="3"/>
        <v>49</v>
      </c>
      <c r="H85" s="73">
        <f t="shared" si="3"/>
        <v>42</v>
      </c>
      <c r="I85" s="174" t="s">
        <v>181</v>
      </c>
      <c r="J85" s="66" t="s">
        <v>624</v>
      </c>
      <c r="K85" s="73">
        <f t="shared" si="12"/>
        <v>88</v>
      </c>
      <c r="L85" s="73">
        <f t="shared" si="12"/>
        <v>77</v>
      </c>
      <c r="M85" s="73">
        <f t="shared" si="12"/>
        <v>66</v>
      </c>
      <c r="N85" s="73">
        <f t="shared" si="8"/>
        <v>61.599999999999994</v>
      </c>
      <c r="O85" s="73">
        <f t="shared" si="8"/>
        <v>53.9</v>
      </c>
      <c r="P85" s="73">
        <f t="shared" si="8"/>
        <v>46.199999999999996</v>
      </c>
      <c r="Q85" s="73">
        <f t="shared" si="9"/>
        <v>9.9999999999999858</v>
      </c>
      <c r="R85" s="73">
        <f t="shared" si="9"/>
        <v>9.9999999999999858</v>
      </c>
      <c r="S85" s="73">
        <f t="shared" si="9"/>
        <v>9.9999999999999858</v>
      </c>
    </row>
    <row r="86" spans="1:23" s="30" customFormat="1" ht="34.5" customHeight="1" x14ac:dyDescent="0.25">
      <c r="A86" s="174" t="s">
        <v>182</v>
      </c>
      <c r="B86" s="66" t="s">
        <v>625</v>
      </c>
      <c r="C86" s="87">
        <v>70</v>
      </c>
      <c r="D86" s="87">
        <v>60</v>
      </c>
      <c r="E86" s="87">
        <v>50</v>
      </c>
      <c r="F86" s="73">
        <f t="shared" si="3"/>
        <v>49</v>
      </c>
      <c r="G86" s="73">
        <f t="shared" si="3"/>
        <v>42</v>
      </c>
      <c r="H86" s="73">
        <f t="shared" si="3"/>
        <v>35</v>
      </c>
      <c r="I86" s="174" t="s">
        <v>182</v>
      </c>
      <c r="J86" s="66" t="s">
        <v>625</v>
      </c>
      <c r="K86" s="73">
        <f t="shared" si="12"/>
        <v>77</v>
      </c>
      <c r="L86" s="73">
        <f t="shared" si="12"/>
        <v>66</v>
      </c>
      <c r="M86" s="73">
        <f t="shared" si="12"/>
        <v>55.000000000000007</v>
      </c>
      <c r="N86" s="73">
        <f t="shared" si="8"/>
        <v>53.9</v>
      </c>
      <c r="O86" s="73">
        <f t="shared" si="8"/>
        <v>46.199999999999996</v>
      </c>
      <c r="P86" s="73">
        <f t="shared" si="8"/>
        <v>38.5</v>
      </c>
      <c r="Q86" s="73">
        <f t="shared" si="9"/>
        <v>9.9999999999999858</v>
      </c>
      <c r="R86" s="73">
        <f t="shared" si="9"/>
        <v>9.9999999999999858</v>
      </c>
      <c r="S86" s="73">
        <f t="shared" si="9"/>
        <v>10.000000000000014</v>
      </c>
    </row>
    <row r="87" spans="1:23" s="30" customFormat="1" ht="27.75" customHeight="1" x14ac:dyDescent="0.25">
      <c r="A87" s="64"/>
      <c r="B87" s="62" t="s">
        <v>939</v>
      </c>
      <c r="C87" s="87"/>
      <c r="D87" s="159"/>
      <c r="E87" s="160"/>
      <c r="F87" s="73">
        <f t="shared" si="3"/>
        <v>0</v>
      </c>
      <c r="G87" s="73">
        <f t="shared" si="3"/>
        <v>0</v>
      </c>
      <c r="H87" s="73">
        <f t="shared" si="3"/>
        <v>0</v>
      </c>
      <c r="I87" s="64"/>
      <c r="J87" s="62" t="s">
        <v>939</v>
      </c>
      <c r="K87" s="73"/>
      <c r="L87" s="73"/>
      <c r="M87" s="73"/>
      <c r="N87" s="73"/>
      <c r="O87" s="73"/>
      <c r="P87" s="73"/>
      <c r="Q87" s="73"/>
      <c r="R87" s="73"/>
      <c r="S87" s="73"/>
    </row>
    <row r="88" spans="1:23" s="30" customFormat="1" ht="66.75" customHeight="1" x14ac:dyDescent="0.25">
      <c r="A88" s="64" t="s">
        <v>204</v>
      </c>
      <c r="B88" s="66" t="s">
        <v>626</v>
      </c>
      <c r="C88" s="87">
        <v>85</v>
      </c>
      <c r="D88" s="159">
        <v>70</v>
      </c>
      <c r="E88" s="160">
        <v>60</v>
      </c>
      <c r="F88" s="73">
        <f t="shared" si="3"/>
        <v>59.499999999999993</v>
      </c>
      <c r="G88" s="73">
        <f t="shared" si="3"/>
        <v>49</v>
      </c>
      <c r="H88" s="73">
        <f t="shared" si="3"/>
        <v>42</v>
      </c>
      <c r="I88" s="64" t="s">
        <v>204</v>
      </c>
      <c r="J88" s="66" t="s">
        <v>626</v>
      </c>
      <c r="K88" s="73">
        <f>C88*1.1</f>
        <v>93.500000000000014</v>
      </c>
      <c r="L88" s="73">
        <f>D88*1.1</f>
        <v>77</v>
      </c>
      <c r="M88" s="73">
        <f>E88*1.1</f>
        <v>66</v>
      </c>
      <c r="N88" s="73">
        <f t="shared" si="8"/>
        <v>65.45</v>
      </c>
      <c r="O88" s="73">
        <f t="shared" si="8"/>
        <v>53.9</v>
      </c>
      <c r="P88" s="73">
        <f t="shared" si="8"/>
        <v>46.199999999999996</v>
      </c>
      <c r="Q88" s="73">
        <f t="shared" si="9"/>
        <v>10.000000000000014</v>
      </c>
      <c r="R88" s="73">
        <f t="shared" si="9"/>
        <v>9.9999999999999858</v>
      </c>
      <c r="S88" s="73">
        <f t="shared" si="9"/>
        <v>9.9999999999999858</v>
      </c>
      <c r="T88" s="34"/>
      <c r="V88" s="35"/>
      <c r="W88" s="36">
        <f>E88/C88%</f>
        <v>70.588235294117652</v>
      </c>
    </row>
    <row r="89" spans="1:23" s="30" customFormat="1" ht="44.25" customHeight="1" x14ac:dyDescent="0.25">
      <c r="A89" s="64" t="s">
        <v>205</v>
      </c>
      <c r="B89" s="66" t="s">
        <v>627</v>
      </c>
      <c r="C89" s="87">
        <v>120</v>
      </c>
      <c r="D89" s="159">
        <v>85</v>
      </c>
      <c r="E89" s="160">
        <v>75</v>
      </c>
      <c r="F89" s="73">
        <f t="shared" si="3"/>
        <v>84</v>
      </c>
      <c r="G89" s="73">
        <f t="shared" si="3"/>
        <v>59.499999999999993</v>
      </c>
      <c r="H89" s="73">
        <f t="shared" si="3"/>
        <v>52.5</v>
      </c>
      <c r="I89" s="64" t="s">
        <v>205</v>
      </c>
      <c r="J89" s="66" t="s">
        <v>940</v>
      </c>
      <c r="K89" s="73">
        <v>140</v>
      </c>
      <c r="L89" s="73">
        <v>100</v>
      </c>
      <c r="M89" s="73">
        <v>85</v>
      </c>
      <c r="N89" s="73">
        <f t="shared" si="8"/>
        <v>98</v>
      </c>
      <c r="O89" s="73">
        <f t="shared" si="8"/>
        <v>70</v>
      </c>
      <c r="P89" s="73">
        <f t="shared" si="8"/>
        <v>59.499999999999993</v>
      </c>
      <c r="Q89" s="73">
        <f t="shared" si="9"/>
        <v>16.666666666666671</v>
      </c>
      <c r="R89" s="73">
        <f t="shared" si="9"/>
        <v>17.64705882352942</v>
      </c>
      <c r="S89" s="73">
        <f t="shared" si="9"/>
        <v>13.333333333333329</v>
      </c>
      <c r="T89" s="34"/>
      <c r="U89" s="37"/>
      <c r="V89" s="35"/>
      <c r="W89" s="36">
        <f>E89/C89%</f>
        <v>62.5</v>
      </c>
    </row>
    <row r="90" spans="1:23" s="30" customFormat="1" ht="51.75" customHeight="1" x14ac:dyDescent="0.25">
      <c r="A90" s="64" t="s">
        <v>206</v>
      </c>
      <c r="B90" s="66" t="s">
        <v>628</v>
      </c>
      <c r="C90" s="87">
        <v>85</v>
      </c>
      <c r="D90" s="159">
        <v>70</v>
      </c>
      <c r="E90" s="160">
        <v>60</v>
      </c>
      <c r="F90" s="73">
        <f t="shared" si="3"/>
        <v>59.499999999999993</v>
      </c>
      <c r="G90" s="73">
        <f t="shared" si="3"/>
        <v>49</v>
      </c>
      <c r="H90" s="73">
        <f t="shared" si="3"/>
        <v>42</v>
      </c>
      <c r="I90" s="64" t="s">
        <v>206</v>
      </c>
      <c r="J90" s="66" t="s">
        <v>941</v>
      </c>
      <c r="K90" s="73">
        <v>120</v>
      </c>
      <c r="L90" s="73">
        <v>110</v>
      </c>
      <c r="M90" s="73">
        <v>100</v>
      </c>
      <c r="N90" s="73">
        <f t="shared" si="8"/>
        <v>84</v>
      </c>
      <c r="O90" s="73">
        <f t="shared" si="8"/>
        <v>77</v>
      </c>
      <c r="P90" s="73">
        <f t="shared" si="8"/>
        <v>70</v>
      </c>
      <c r="Q90" s="73">
        <f t="shared" si="9"/>
        <v>41.176470588235304</v>
      </c>
      <c r="R90" s="73">
        <f t="shared" si="9"/>
        <v>57.142857142857139</v>
      </c>
      <c r="S90" s="73">
        <f t="shared" si="9"/>
        <v>66.666666666666686</v>
      </c>
      <c r="T90" s="34"/>
      <c r="U90" s="37"/>
      <c r="V90" s="35"/>
      <c r="W90" s="36">
        <f>E90/C90%</f>
        <v>70.588235294117652</v>
      </c>
    </row>
    <row r="91" spans="1:23" s="30" customFormat="1" ht="33" x14ac:dyDescent="0.25">
      <c r="A91" s="64"/>
      <c r="B91" s="66"/>
      <c r="C91" s="87"/>
      <c r="D91" s="159"/>
      <c r="E91" s="160"/>
      <c r="F91" s="73"/>
      <c r="G91" s="73"/>
      <c r="H91" s="73"/>
      <c r="I91" s="64" t="s">
        <v>207</v>
      </c>
      <c r="J91" s="66" t="s">
        <v>629</v>
      </c>
      <c r="K91" s="73">
        <v>110</v>
      </c>
      <c r="L91" s="73">
        <v>100</v>
      </c>
      <c r="M91" s="73">
        <v>90</v>
      </c>
      <c r="N91" s="73">
        <f t="shared" si="8"/>
        <v>77</v>
      </c>
      <c r="O91" s="73">
        <f t="shared" si="8"/>
        <v>70</v>
      </c>
      <c r="P91" s="73">
        <f t="shared" si="8"/>
        <v>62.999999999999993</v>
      </c>
      <c r="Q91" s="73"/>
      <c r="R91" s="73"/>
      <c r="S91" s="73"/>
      <c r="T91" s="34"/>
      <c r="U91" s="37"/>
      <c r="V91" s="35"/>
      <c r="W91" s="35">
        <f>(W88+W89+W90+V92)/4</f>
        <v>50.919117647058826</v>
      </c>
    </row>
    <row r="92" spans="1:23" s="30" customFormat="1" ht="36" customHeight="1" x14ac:dyDescent="0.25">
      <c r="A92" s="64" t="s">
        <v>207</v>
      </c>
      <c r="B92" s="66" t="s">
        <v>601</v>
      </c>
      <c r="C92" s="87">
        <v>70</v>
      </c>
      <c r="D92" s="159">
        <v>65</v>
      </c>
      <c r="E92" s="160">
        <v>55</v>
      </c>
      <c r="F92" s="73">
        <f t="shared" si="3"/>
        <v>49</v>
      </c>
      <c r="G92" s="73">
        <f t="shared" si="3"/>
        <v>45.5</v>
      </c>
      <c r="H92" s="73">
        <f t="shared" si="3"/>
        <v>38.5</v>
      </c>
      <c r="I92" s="64" t="s">
        <v>209</v>
      </c>
      <c r="J92" s="66" t="s">
        <v>601</v>
      </c>
      <c r="K92" s="73">
        <f>C92*1.1</f>
        <v>77</v>
      </c>
      <c r="L92" s="73">
        <f>D92*1.1</f>
        <v>71.5</v>
      </c>
      <c r="M92" s="73">
        <f>E92*1.1</f>
        <v>60.500000000000007</v>
      </c>
      <c r="N92" s="73">
        <f>K92*70%</f>
        <v>53.9</v>
      </c>
      <c r="O92" s="73">
        <f>L92*70%</f>
        <v>50.05</v>
      </c>
      <c r="P92" s="73">
        <f>M92*70%</f>
        <v>42.35</v>
      </c>
      <c r="Q92" s="73">
        <f t="shared" si="9"/>
        <v>9.9999999999999858</v>
      </c>
      <c r="R92" s="73">
        <f t="shared" si="9"/>
        <v>9.9999999999999858</v>
      </c>
      <c r="S92" s="73">
        <f t="shared" si="9"/>
        <v>10.000000000000014</v>
      </c>
      <c r="U92" s="35"/>
      <c r="V92" s="36"/>
    </row>
  </sheetData>
  <mergeCells count="10">
    <mergeCell ref="I1:P1"/>
    <mergeCell ref="A2:P2"/>
    <mergeCell ref="Q2:S2"/>
    <mergeCell ref="C3:E3"/>
    <mergeCell ref="F3:H3"/>
    <mergeCell ref="I3:I4"/>
    <mergeCell ref="J3:J4"/>
    <mergeCell ref="K3:M3"/>
    <mergeCell ref="N3:P3"/>
    <mergeCell ref="Q3:S3"/>
  </mergeCells>
  <pageMargins left="0.18740157480315001" right="0.19055118110236199" top="0.49055118110236201" bottom="0.19055118110236199" header="0.118110236220472" footer="0.118110236220472"/>
  <pageSetup paperSize="9" scale="85" firstPageNumber="35" orientation="portrait" useFirstPageNumber="1" r:id="rId1"/>
  <headerFooter>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F1" zoomScaleNormal="100" workbookViewId="0">
      <selection activeCell="S8" sqref="S8"/>
    </sheetView>
  </sheetViews>
  <sheetFormatPr defaultRowHeight="15.75" x14ac:dyDescent="0.25"/>
  <cols>
    <col min="1" max="1" width="13.85546875" style="44" hidden="1" customWidth="1"/>
    <col min="2" max="2" width="14.7109375" style="30" hidden="1" customWidth="1"/>
    <col min="3" max="3" width="15.5703125" style="30" hidden="1" customWidth="1"/>
    <col min="4" max="4" width="11.5703125" style="30" hidden="1" customWidth="1"/>
    <col min="5" max="5" width="8.140625" style="30" hidden="1" customWidth="1"/>
    <col min="6" max="6" width="5.85546875" style="30" customWidth="1"/>
    <col min="7" max="7" width="53.85546875" style="30" customWidth="1"/>
    <col min="8" max="8" width="11.7109375" style="51" customWidth="1"/>
    <col min="9" max="9" width="15.28515625" style="51" customWidth="1"/>
    <col min="10" max="10" width="13" style="51" customWidth="1"/>
    <col min="11" max="11" width="28.42578125" style="30" hidden="1" customWidth="1"/>
    <col min="12" max="12" width="10.7109375" style="30" hidden="1" customWidth="1"/>
    <col min="13" max="15" width="0" style="30" hidden="1" customWidth="1"/>
    <col min="16" max="16" width="12.85546875" style="52" hidden="1" customWidth="1"/>
    <col min="17" max="252" width="9.140625" style="30"/>
    <col min="253" max="253" width="39.28515625" style="30" customWidth="1"/>
    <col min="254" max="257" width="9.140625" style="30"/>
    <col min="258" max="258" width="8.7109375" style="30" customWidth="1"/>
    <col min="259" max="259" width="35" style="30" customWidth="1"/>
    <col min="260" max="263" width="9.140625" style="30"/>
    <col min="264" max="264" width="30.7109375" style="30" customWidth="1"/>
    <col min="265" max="508" width="9.140625" style="30"/>
    <col min="509" max="509" width="39.28515625" style="30" customWidth="1"/>
    <col min="510" max="513" width="9.140625" style="30"/>
    <col min="514" max="514" width="8.7109375" style="30" customWidth="1"/>
    <col min="515" max="515" width="35" style="30" customWidth="1"/>
    <col min="516" max="519" width="9.140625" style="30"/>
    <col min="520" max="520" width="30.7109375" style="30" customWidth="1"/>
    <col min="521" max="764" width="9.140625" style="30"/>
    <col min="765" max="765" width="39.28515625" style="30" customWidth="1"/>
    <col min="766" max="769" width="9.140625" style="30"/>
    <col min="770" max="770" width="8.7109375" style="30" customWidth="1"/>
    <col min="771" max="771" width="35" style="30" customWidth="1"/>
    <col min="772" max="775" width="9.140625" style="30"/>
    <col min="776" max="776" width="30.7109375" style="30" customWidth="1"/>
    <col min="777" max="1020" width="9.140625" style="30"/>
    <col min="1021" max="1021" width="39.28515625" style="30" customWidth="1"/>
    <col min="1022" max="1025" width="9.140625" style="30"/>
    <col min="1026" max="1026" width="8.7109375" style="30" customWidth="1"/>
    <col min="1027" max="1027" width="35" style="30" customWidth="1"/>
    <col min="1028" max="1031" width="9.140625" style="30"/>
    <col min="1032" max="1032" width="30.7109375" style="30" customWidth="1"/>
    <col min="1033" max="1276" width="9.140625" style="30"/>
    <col min="1277" max="1277" width="39.28515625" style="30" customWidth="1"/>
    <col min="1278" max="1281" width="9.140625" style="30"/>
    <col min="1282" max="1282" width="8.7109375" style="30" customWidth="1"/>
    <col min="1283" max="1283" width="35" style="30" customWidth="1"/>
    <col min="1284" max="1287" width="9.140625" style="30"/>
    <col min="1288" max="1288" width="30.7109375" style="30" customWidth="1"/>
    <col min="1289" max="1532" width="9.140625" style="30"/>
    <col min="1533" max="1533" width="39.28515625" style="30" customWidth="1"/>
    <col min="1534" max="1537" width="9.140625" style="30"/>
    <col min="1538" max="1538" width="8.7109375" style="30" customWidth="1"/>
    <col min="1539" max="1539" width="35" style="30" customWidth="1"/>
    <col min="1540" max="1543" width="9.140625" style="30"/>
    <col min="1544" max="1544" width="30.7109375" style="30" customWidth="1"/>
    <col min="1545" max="1788" width="9.140625" style="30"/>
    <col min="1789" max="1789" width="39.28515625" style="30" customWidth="1"/>
    <col min="1790" max="1793" width="9.140625" style="30"/>
    <col min="1794" max="1794" width="8.7109375" style="30" customWidth="1"/>
    <col min="1795" max="1795" width="35" style="30" customWidth="1"/>
    <col min="1796" max="1799" width="9.140625" style="30"/>
    <col min="1800" max="1800" width="30.7109375" style="30" customWidth="1"/>
    <col min="1801" max="2044" width="9.140625" style="30"/>
    <col min="2045" max="2045" width="39.28515625" style="30" customWidth="1"/>
    <col min="2046" max="2049" width="9.140625" style="30"/>
    <col min="2050" max="2050" width="8.7109375" style="30" customWidth="1"/>
    <col min="2051" max="2051" width="35" style="30" customWidth="1"/>
    <col min="2052" max="2055" width="9.140625" style="30"/>
    <col min="2056" max="2056" width="30.7109375" style="30" customWidth="1"/>
    <col min="2057" max="2300" width="9.140625" style="30"/>
    <col min="2301" max="2301" width="39.28515625" style="30" customWidth="1"/>
    <col min="2302" max="2305" width="9.140625" style="30"/>
    <col min="2306" max="2306" width="8.7109375" style="30" customWidth="1"/>
    <col min="2307" max="2307" width="35" style="30" customWidth="1"/>
    <col min="2308" max="2311" width="9.140625" style="30"/>
    <col min="2312" max="2312" width="30.7109375" style="30" customWidth="1"/>
    <col min="2313" max="2556" width="9.140625" style="30"/>
    <col min="2557" max="2557" width="39.28515625" style="30" customWidth="1"/>
    <col min="2558" max="2561" width="9.140625" style="30"/>
    <col min="2562" max="2562" width="8.7109375" style="30" customWidth="1"/>
    <col min="2563" max="2563" width="35" style="30" customWidth="1"/>
    <col min="2564" max="2567" width="9.140625" style="30"/>
    <col min="2568" max="2568" width="30.7109375" style="30" customWidth="1"/>
    <col min="2569" max="2812" width="9.140625" style="30"/>
    <col min="2813" max="2813" width="39.28515625" style="30" customWidth="1"/>
    <col min="2814" max="2817" width="9.140625" style="30"/>
    <col min="2818" max="2818" width="8.7109375" style="30" customWidth="1"/>
    <col min="2819" max="2819" width="35" style="30" customWidth="1"/>
    <col min="2820" max="2823" width="9.140625" style="30"/>
    <col min="2824" max="2824" width="30.7109375" style="30" customWidth="1"/>
    <col min="2825" max="3068" width="9.140625" style="30"/>
    <col min="3069" max="3069" width="39.28515625" style="30" customWidth="1"/>
    <col min="3070" max="3073" width="9.140625" style="30"/>
    <col min="3074" max="3074" width="8.7109375" style="30" customWidth="1"/>
    <col min="3075" max="3075" width="35" style="30" customWidth="1"/>
    <col min="3076" max="3079" width="9.140625" style="30"/>
    <col min="3080" max="3080" width="30.7109375" style="30" customWidth="1"/>
    <col min="3081" max="3324" width="9.140625" style="30"/>
    <col min="3325" max="3325" width="39.28515625" style="30" customWidth="1"/>
    <col min="3326" max="3329" width="9.140625" style="30"/>
    <col min="3330" max="3330" width="8.7109375" style="30" customWidth="1"/>
    <col min="3331" max="3331" width="35" style="30" customWidth="1"/>
    <col min="3332" max="3335" width="9.140625" style="30"/>
    <col min="3336" max="3336" width="30.7109375" style="30" customWidth="1"/>
    <col min="3337" max="3580" width="9.140625" style="30"/>
    <col min="3581" max="3581" width="39.28515625" style="30" customWidth="1"/>
    <col min="3582" max="3585" width="9.140625" style="30"/>
    <col min="3586" max="3586" width="8.7109375" style="30" customWidth="1"/>
    <col min="3587" max="3587" width="35" style="30" customWidth="1"/>
    <col min="3588" max="3591" width="9.140625" style="30"/>
    <col min="3592" max="3592" width="30.7109375" style="30" customWidth="1"/>
    <col min="3593" max="3836" width="9.140625" style="30"/>
    <col min="3837" max="3837" width="39.28515625" style="30" customWidth="1"/>
    <col min="3838" max="3841" width="9.140625" style="30"/>
    <col min="3842" max="3842" width="8.7109375" style="30" customWidth="1"/>
    <col min="3843" max="3843" width="35" style="30" customWidth="1"/>
    <col min="3844" max="3847" width="9.140625" style="30"/>
    <col min="3848" max="3848" width="30.7109375" style="30" customWidth="1"/>
    <col min="3849" max="4092" width="9.140625" style="30"/>
    <col min="4093" max="4093" width="39.28515625" style="30" customWidth="1"/>
    <col min="4094" max="4097" width="9.140625" style="30"/>
    <col min="4098" max="4098" width="8.7109375" style="30" customWidth="1"/>
    <col min="4099" max="4099" width="35" style="30" customWidth="1"/>
    <col min="4100" max="4103" width="9.140625" style="30"/>
    <col min="4104" max="4104" width="30.7109375" style="30" customWidth="1"/>
    <col min="4105" max="4348" width="9.140625" style="30"/>
    <col min="4349" max="4349" width="39.28515625" style="30" customWidth="1"/>
    <col min="4350" max="4353" width="9.140625" style="30"/>
    <col min="4354" max="4354" width="8.7109375" style="30" customWidth="1"/>
    <col min="4355" max="4355" width="35" style="30" customWidth="1"/>
    <col min="4356" max="4359" width="9.140625" style="30"/>
    <col min="4360" max="4360" width="30.7109375" style="30" customWidth="1"/>
    <col min="4361" max="4604" width="9.140625" style="30"/>
    <col min="4605" max="4605" width="39.28515625" style="30" customWidth="1"/>
    <col min="4606" max="4609" width="9.140625" style="30"/>
    <col min="4610" max="4610" width="8.7109375" style="30" customWidth="1"/>
    <col min="4611" max="4611" width="35" style="30" customWidth="1"/>
    <col min="4612" max="4615" width="9.140625" style="30"/>
    <col min="4616" max="4616" width="30.7109375" style="30" customWidth="1"/>
    <col min="4617" max="4860" width="9.140625" style="30"/>
    <col min="4861" max="4861" width="39.28515625" style="30" customWidth="1"/>
    <col min="4862" max="4865" width="9.140625" style="30"/>
    <col min="4866" max="4866" width="8.7109375" style="30" customWidth="1"/>
    <col min="4867" max="4867" width="35" style="30" customWidth="1"/>
    <col min="4868" max="4871" width="9.140625" style="30"/>
    <col min="4872" max="4872" width="30.7109375" style="30" customWidth="1"/>
    <col min="4873" max="5116" width="9.140625" style="30"/>
    <col min="5117" max="5117" width="39.28515625" style="30" customWidth="1"/>
    <col min="5118" max="5121" width="9.140625" style="30"/>
    <col min="5122" max="5122" width="8.7109375" style="30" customWidth="1"/>
    <col min="5123" max="5123" width="35" style="30" customWidth="1"/>
    <col min="5124" max="5127" width="9.140625" style="30"/>
    <col min="5128" max="5128" width="30.7109375" style="30" customWidth="1"/>
    <col min="5129" max="5372" width="9.140625" style="30"/>
    <col min="5373" max="5373" width="39.28515625" style="30" customWidth="1"/>
    <col min="5374" max="5377" width="9.140625" style="30"/>
    <col min="5378" max="5378" width="8.7109375" style="30" customWidth="1"/>
    <col min="5379" max="5379" width="35" style="30" customWidth="1"/>
    <col min="5380" max="5383" width="9.140625" style="30"/>
    <col min="5384" max="5384" width="30.7109375" style="30" customWidth="1"/>
    <col min="5385" max="5628" width="9.140625" style="30"/>
    <col min="5629" max="5629" width="39.28515625" style="30" customWidth="1"/>
    <col min="5630" max="5633" width="9.140625" style="30"/>
    <col min="5634" max="5634" width="8.7109375" style="30" customWidth="1"/>
    <col min="5635" max="5635" width="35" style="30" customWidth="1"/>
    <col min="5636" max="5639" width="9.140625" style="30"/>
    <col min="5640" max="5640" width="30.7109375" style="30" customWidth="1"/>
    <col min="5641" max="5884" width="9.140625" style="30"/>
    <col min="5885" max="5885" width="39.28515625" style="30" customWidth="1"/>
    <col min="5886" max="5889" width="9.140625" style="30"/>
    <col min="5890" max="5890" width="8.7109375" style="30" customWidth="1"/>
    <col min="5891" max="5891" width="35" style="30" customWidth="1"/>
    <col min="5892" max="5895" width="9.140625" style="30"/>
    <col min="5896" max="5896" width="30.7109375" style="30" customWidth="1"/>
    <col min="5897" max="6140" width="9.140625" style="30"/>
    <col min="6141" max="6141" width="39.28515625" style="30" customWidth="1"/>
    <col min="6142" max="6145" width="9.140625" style="30"/>
    <col min="6146" max="6146" width="8.7109375" style="30" customWidth="1"/>
    <col min="6147" max="6147" width="35" style="30" customWidth="1"/>
    <col min="6148" max="6151" width="9.140625" style="30"/>
    <col min="6152" max="6152" width="30.7109375" style="30" customWidth="1"/>
    <col min="6153" max="6396" width="9.140625" style="30"/>
    <col min="6397" max="6397" width="39.28515625" style="30" customWidth="1"/>
    <col min="6398" max="6401" width="9.140625" style="30"/>
    <col min="6402" max="6402" width="8.7109375" style="30" customWidth="1"/>
    <col min="6403" max="6403" width="35" style="30" customWidth="1"/>
    <col min="6404" max="6407" width="9.140625" style="30"/>
    <col min="6408" max="6408" width="30.7109375" style="30" customWidth="1"/>
    <col min="6409" max="6652" width="9.140625" style="30"/>
    <col min="6653" max="6653" width="39.28515625" style="30" customWidth="1"/>
    <col min="6654" max="6657" width="9.140625" style="30"/>
    <col min="6658" max="6658" width="8.7109375" style="30" customWidth="1"/>
    <col min="6659" max="6659" width="35" style="30" customWidth="1"/>
    <col min="6660" max="6663" width="9.140625" style="30"/>
    <col min="6664" max="6664" width="30.7109375" style="30" customWidth="1"/>
    <col min="6665" max="6908" width="9.140625" style="30"/>
    <col min="6909" max="6909" width="39.28515625" style="30" customWidth="1"/>
    <col min="6910" max="6913" width="9.140625" style="30"/>
    <col min="6914" max="6914" width="8.7109375" style="30" customWidth="1"/>
    <col min="6915" max="6915" width="35" style="30" customWidth="1"/>
    <col min="6916" max="6919" width="9.140625" style="30"/>
    <col min="6920" max="6920" width="30.7109375" style="30" customWidth="1"/>
    <col min="6921" max="7164" width="9.140625" style="30"/>
    <col min="7165" max="7165" width="39.28515625" style="30" customWidth="1"/>
    <col min="7166" max="7169" width="9.140625" style="30"/>
    <col min="7170" max="7170" width="8.7109375" style="30" customWidth="1"/>
    <col min="7171" max="7171" width="35" style="30" customWidth="1"/>
    <col min="7172" max="7175" width="9.140625" style="30"/>
    <col min="7176" max="7176" width="30.7109375" style="30" customWidth="1"/>
    <col min="7177" max="7420" width="9.140625" style="30"/>
    <col min="7421" max="7421" width="39.28515625" style="30" customWidth="1"/>
    <col min="7422" max="7425" width="9.140625" style="30"/>
    <col min="7426" max="7426" width="8.7109375" style="30" customWidth="1"/>
    <col min="7427" max="7427" width="35" style="30" customWidth="1"/>
    <col min="7428" max="7431" width="9.140625" style="30"/>
    <col min="7432" max="7432" width="30.7109375" style="30" customWidth="1"/>
    <col min="7433" max="7676" width="9.140625" style="30"/>
    <col min="7677" max="7677" width="39.28515625" style="30" customWidth="1"/>
    <col min="7678" max="7681" width="9.140625" style="30"/>
    <col min="7682" max="7682" width="8.7109375" style="30" customWidth="1"/>
    <col min="7683" max="7683" width="35" style="30" customWidth="1"/>
    <col min="7684" max="7687" width="9.140625" style="30"/>
    <col min="7688" max="7688" width="30.7109375" style="30" customWidth="1"/>
    <col min="7689" max="7932" width="9.140625" style="30"/>
    <col min="7933" max="7933" width="39.28515625" style="30" customWidth="1"/>
    <col min="7934" max="7937" width="9.140625" style="30"/>
    <col min="7938" max="7938" width="8.7109375" style="30" customWidth="1"/>
    <col min="7939" max="7939" width="35" style="30" customWidth="1"/>
    <col min="7940" max="7943" width="9.140625" style="30"/>
    <col min="7944" max="7944" width="30.7109375" style="30" customWidth="1"/>
    <col min="7945" max="8188" width="9.140625" style="30"/>
    <col min="8189" max="8189" width="39.28515625" style="30" customWidth="1"/>
    <col min="8190" max="8193" width="9.140625" style="30"/>
    <col min="8194" max="8194" width="8.7109375" style="30" customWidth="1"/>
    <col min="8195" max="8195" width="35" style="30" customWidth="1"/>
    <col min="8196" max="8199" width="9.140625" style="30"/>
    <col min="8200" max="8200" width="30.7109375" style="30" customWidth="1"/>
    <col min="8201" max="8444" width="9.140625" style="30"/>
    <col min="8445" max="8445" width="39.28515625" style="30" customWidth="1"/>
    <col min="8446" max="8449" width="9.140625" style="30"/>
    <col min="8450" max="8450" width="8.7109375" style="30" customWidth="1"/>
    <col min="8451" max="8451" width="35" style="30" customWidth="1"/>
    <col min="8452" max="8455" width="9.140625" style="30"/>
    <col min="8456" max="8456" width="30.7109375" style="30" customWidth="1"/>
    <col min="8457" max="8700" width="9.140625" style="30"/>
    <col min="8701" max="8701" width="39.28515625" style="30" customWidth="1"/>
    <col min="8702" max="8705" width="9.140625" style="30"/>
    <col min="8706" max="8706" width="8.7109375" style="30" customWidth="1"/>
    <col min="8707" max="8707" width="35" style="30" customWidth="1"/>
    <col min="8708" max="8711" width="9.140625" style="30"/>
    <col min="8712" max="8712" width="30.7109375" style="30" customWidth="1"/>
    <col min="8713" max="8956" width="9.140625" style="30"/>
    <col min="8957" max="8957" width="39.28515625" style="30" customWidth="1"/>
    <col min="8958" max="8961" width="9.140625" style="30"/>
    <col min="8962" max="8962" width="8.7109375" style="30" customWidth="1"/>
    <col min="8963" max="8963" width="35" style="30" customWidth="1"/>
    <col min="8964" max="8967" width="9.140625" style="30"/>
    <col min="8968" max="8968" width="30.7109375" style="30" customWidth="1"/>
    <col min="8969" max="9212" width="9.140625" style="30"/>
    <col min="9213" max="9213" width="39.28515625" style="30" customWidth="1"/>
    <col min="9214" max="9217" width="9.140625" style="30"/>
    <col min="9218" max="9218" width="8.7109375" style="30" customWidth="1"/>
    <col min="9219" max="9219" width="35" style="30" customWidth="1"/>
    <col min="9220" max="9223" width="9.140625" style="30"/>
    <col min="9224" max="9224" width="30.7109375" style="30" customWidth="1"/>
    <col min="9225" max="9468" width="9.140625" style="30"/>
    <col min="9469" max="9469" width="39.28515625" style="30" customWidth="1"/>
    <col min="9470" max="9473" width="9.140625" style="30"/>
    <col min="9474" max="9474" width="8.7109375" style="30" customWidth="1"/>
    <col min="9475" max="9475" width="35" style="30" customWidth="1"/>
    <col min="9476" max="9479" width="9.140625" style="30"/>
    <col min="9480" max="9480" width="30.7109375" style="30" customWidth="1"/>
    <col min="9481" max="9724" width="9.140625" style="30"/>
    <col min="9725" max="9725" width="39.28515625" style="30" customWidth="1"/>
    <col min="9726" max="9729" width="9.140625" style="30"/>
    <col min="9730" max="9730" width="8.7109375" style="30" customWidth="1"/>
    <col min="9731" max="9731" width="35" style="30" customWidth="1"/>
    <col min="9732" max="9735" width="9.140625" style="30"/>
    <col min="9736" max="9736" width="30.7109375" style="30" customWidth="1"/>
    <col min="9737" max="9980" width="9.140625" style="30"/>
    <col min="9981" max="9981" width="39.28515625" style="30" customWidth="1"/>
    <col min="9982" max="9985" width="9.140625" style="30"/>
    <col min="9986" max="9986" width="8.7109375" style="30" customWidth="1"/>
    <col min="9987" max="9987" width="35" style="30" customWidth="1"/>
    <col min="9988" max="9991" width="9.140625" style="30"/>
    <col min="9992" max="9992" width="30.7109375" style="30" customWidth="1"/>
    <col min="9993" max="10236" width="9.140625" style="30"/>
    <col min="10237" max="10237" width="39.28515625" style="30" customWidth="1"/>
    <col min="10238" max="10241" width="9.140625" style="30"/>
    <col min="10242" max="10242" width="8.7109375" style="30" customWidth="1"/>
    <col min="10243" max="10243" width="35" style="30" customWidth="1"/>
    <col min="10244" max="10247" width="9.140625" style="30"/>
    <col min="10248" max="10248" width="30.7109375" style="30" customWidth="1"/>
    <col min="10249" max="10492" width="9.140625" style="30"/>
    <col min="10493" max="10493" width="39.28515625" style="30" customWidth="1"/>
    <col min="10494" max="10497" width="9.140625" style="30"/>
    <col min="10498" max="10498" width="8.7109375" style="30" customWidth="1"/>
    <col min="10499" max="10499" width="35" style="30" customWidth="1"/>
    <col min="10500" max="10503" width="9.140625" style="30"/>
    <col min="10504" max="10504" width="30.7109375" style="30" customWidth="1"/>
    <col min="10505" max="10748" width="9.140625" style="30"/>
    <col min="10749" max="10749" width="39.28515625" style="30" customWidth="1"/>
    <col min="10750" max="10753" width="9.140625" style="30"/>
    <col min="10754" max="10754" width="8.7109375" style="30" customWidth="1"/>
    <col min="10755" max="10755" width="35" style="30" customWidth="1"/>
    <col min="10756" max="10759" width="9.140625" style="30"/>
    <col min="10760" max="10760" width="30.7109375" style="30" customWidth="1"/>
    <col min="10761" max="11004" width="9.140625" style="30"/>
    <col min="11005" max="11005" width="39.28515625" style="30" customWidth="1"/>
    <col min="11006" max="11009" width="9.140625" style="30"/>
    <col min="11010" max="11010" width="8.7109375" style="30" customWidth="1"/>
    <col min="11011" max="11011" width="35" style="30" customWidth="1"/>
    <col min="11012" max="11015" width="9.140625" style="30"/>
    <col min="11016" max="11016" width="30.7109375" style="30" customWidth="1"/>
    <col min="11017" max="11260" width="9.140625" style="30"/>
    <col min="11261" max="11261" width="39.28515625" style="30" customWidth="1"/>
    <col min="11262" max="11265" width="9.140625" style="30"/>
    <col min="11266" max="11266" width="8.7109375" style="30" customWidth="1"/>
    <col min="11267" max="11267" width="35" style="30" customWidth="1"/>
    <col min="11268" max="11271" width="9.140625" style="30"/>
    <col min="11272" max="11272" width="30.7109375" style="30" customWidth="1"/>
    <col min="11273" max="11516" width="9.140625" style="30"/>
    <col min="11517" max="11517" width="39.28515625" style="30" customWidth="1"/>
    <col min="11518" max="11521" width="9.140625" style="30"/>
    <col min="11522" max="11522" width="8.7109375" style="30" customWidth="1"/>
    <col min="11523" max="11523" width="35" style="30" customWidth="1"/>
    <col min="11524" max="11527" width="9.140625" style="30"/>
    <col min="11528" max="11528" width="30.7109375" style="30" customWidth="1"/>
    <col min="11529" max="11772" width="9.140625" style="30"/>
    <col min="11773" max="11773" width="39.28515625" style="30" customWidth="1"/>
    <col min="11774" max="11777" width="9.140625" style="30"/>
    <col min="11778" max="11778" width="8.7109375" style="30" customWidth="1"/>
    <col min="11779" max="11779" width="35" style="30" customWidth="1"/>
    <col min="11780" max="11783" width="9.140625" style="30"/>
    <col min="11784" max="11784" width="30.7109375" style="30" customWidth="1"/>
    <col min="11785" max="12028" width="9.140625" style="30"/>
    <col min="12029" max="12029" width="39.28515625" style="30" customWidth="1"/>
    <col min="12030" max="12033" width="9.140625" style="30"/>
    <col min="12034" max="12034" width="8.7109375" style="30" customWidth="1"/>
    <col min="12035" max="12035" width="35" style="30" customWidth="1"/>
    <col min="12036" max="12039" width="9.140625" style="30"/>
    <col min="12040" max="12040" width="30.7109375" style="30" customWidth="1"/>
    <col min="12041" max="12284" width="9.140625" style="30"/>
    <col min="12285" max="12285" width="39.28515625" style="30" customWidth="1"/>
    <col min="12286" max="12289" width="9.140625" style="30"/>
    <col min="12290" max="12290" width="8.7109375" style="30" customWidth="1"/>
    <col min="12291" max="12291" width="35" style="30" customWidth="1"/>
    <col min="12292" max="12295" width="9.140625" style="30"/>
    <col min="12296" max="12296" width="30.7109375" style="30" customWidth="1"/>
    <col min="12297" max="12540" width="9.140625" style="30"/>
    <col min="12541" max="12541" width="39.28515625" style="30" customWidth="1"/>
    <col min="12542" max="12545" width="9.140625" style="30"/>
    <col min="12546" max="12546" width="8.7109375" style="30" customWidth="1"/>
    <col min="12547" max="12547" width="35" style="30" customWidth="1"/>
    <col min="12548" max="12551" width="9.140625" style="30"/>
    <col min="12552" max="12552" width="30.7109375" style="30" customWidth="1"/>
    <col min="12553" max="12796" width="9.140625" style="30"/>
    <col min="12797" max="12797" width="39.28515625" style="30" customWidth="1"/>
    <col min="12798" max="12801" width="9.140625" style="30"/>
    <col min="12802" max="12802" width="8.7109375" style="30" customWidth="1"/>
    <col min="12803" max="12803" width="35" style="30" customWidth="1"/>
    <col min="12804" max="12807" width="9.140625" style="30"/>
    <col min="12808" max="12808" width="30.7109375" style="30" customWidth="1"/>
    <col min="12809" max="13052" width="9.140625" style="30"/>
    <col min="13053" max="13053" width="39.28515625" style="30" customWidth="1"/>
    <col min="13054" max="13057" width="9.140625" style="30"/>
    <col min="13058" max="13058" width="8.7109375" style="30" customWidth="1"/>
    <col min="13059" max="13059" width="35" style="30" customWidth="1"/>
    <col min="13060" max="13063" width="9.140625" style="30"/>
    <col min="13064" max="13064" width="30.7109375" style="30" customWidth="1"/>
    <col min="13065" max="13308" width="9.140625" style="30"/>
    <col min="13309" max="13309" width="39.28515625" style="30" customWidth="1"/>
    <col min="13310" max="13313" width="9.140625" style="30"/>
    <col min="13314" max="13314" width="8.7109375" style="30" customWidth="1"/>
    <col min="13315" max="13315" width="35" style="30" customWidth="1"/>
    <col min="13316" max="13319" width="9.140625" style="30"/>
    <col min="13320" max="13320" width="30.7109375" style="30" customWidth="1"/>
    <col min="13321" max="13564" width="9.140625" style="30"/>
    <col min="13565" max="13565" width="39.28515625" style="30" customWidth="1"/>
    <col min="13566" max="13569" width="9.140625" style="30"/>
    <col min="13570" max="13570" width="8.7109375" style="30" customWidth="1"/>
    <col min="13571" max="13571" width="35" style="30" customWidth="1"/>
    <col min="13572" max="13575" width="9.140625" style="30"/>
    <col min="13576" max="13576" width="30.7109375" style="30" customWidth="1"/>
    <col min="13577" max="13820" width="9.140625" style="30"/>
    <col min="13821" max="13821" width="39.28515625" style="30" customWidth="1"/>
    <col min="13822" max="13825" width="9.140625" style="30"/>
    <col min="13826" max="13826" width="8.7109375" style="30" customWidth="1"/>
    <col min="13827" max="13827" width="35" style="30" customWidth="1"/>
    <col min="13828" max="13831" width="9.140625" style="30"/>
    <col min="13832" max="13832" width="30.7109375" style="30" customWidth="1"/>
    <col min="13833" max="14076" width="9.140625" style="30"/>
    <col min="14077" max="14077" width="39.28515625" style="30" customWidth="1"/>
    <col min="14078" max="14081" width="9.140625" style="30"/>
    <col min="14082" max="14082" width="8.7109375" style="30" customWidth="1"/>
    <col min="14083" max="14083" width="35" style="30" customWidth="1"/>
    <col min="14084" max="14087" width="9.140625" style="30"/>
    <col min="14088" max="14088" width="30.7109375" style="30" customWidth="1"/>
    <col min="14089" max="14332" width="9.140625" style="30"/>
    <col min="14333" max="14333" width="39.28515625" style="30" customWidth="1"/>
    <col min="14334" max="14337" width="9.140625" style="30"/>
    <col min="14338" max="14338" width="8.7109375" style="30" customWidth="1"/>
    <col min="14339" max="14339" width="35" style="30" customWidth="1"/>
    <col min="14340" max="14343" width="9.140625" style="30"/>
    <col min="14344" max="14344" width="30.7109375" style="30" customWidth="1"/>
    <col min="14345" max="14588" width="9.140625" style="30"/>
    <col min="14589" max="14589" width="39.28515625" style="30" customWidth="1"/>
    <col min="14590" max="14593" width="9.140625" style="30"/>
    <col min="14594" max="14594" width="8.7109375" style="30" customWidth="1"/>
    <col min="14595" max="14595" width="35" style="30" customWidth="1"/>
    <col min="14596" max="14599" width="9.140625" style="30"/>
    <col min="14600" max="14600" width="30.7109375" style="30" customWidth="1"/>
    <col min="14601" max="14844" width="9.140625" style="30"/>
    <col min="14845" max="14845" width="39.28515625" style="30" customWidth="1"/>
    <col min="14846" max="14849" width="9.140625" style="30"/>
    <col min="14850" max="14850" width="8.7109375" style="30" customWidth="1"/>
    <col min="14851" max="14851" width="35" style="30" customWidth="1"/>
    <col min="14852" max="14855" width="9.140625" style="30"/>
    <col min="14856" max="14856" width="30.7109375" style="30" customWidth="1"/>
    <col min="14857" max="15100" width="9.140625" style="30"/>
    <col min="15101" max="15101" width="39.28515625" style="30" customWidth="1"/>
    <col min="15102" max="15105" width="9.140625" style="30"/>
    <col min="15106" max="15106" width="8.7109375" style="30" customWidth="1"/>
    <col min="15107" max="15107" width="35" style="30" customWidth="1"/>
    <col min="15108" max="15111" width="9.140625" style="30"/>
    <col min="15112" max="15112" width="30.7109375" style="30" customWidth="1"/>
    <col min="15113" max="15356" width="9.140625" style="30"/>
    <col min="15357" max="15357" width="39.28515625" style="30" customWidth="1"/>
    <col min="15358" max="15361" width="9.140625" style="30"/>
    <col min="15362" max="15362" width="8.7109375" style="30" customWidth="1"/>
    <col min="15363" max="15363" width="35" style="30" customWidth="1"/>
    <col min="15364" max="15367" width="9.140625" style="30"/>
    <col min="15368" max="15368" width="30.7109375" style="30" customWidth="1"/>
    <col min="15369" max="15612" width="9.140625" style="30"/>
    <col min="15613" max="15613" width="39.28515625" style="30" customWidth="1"/>
    <col min="15614" max="15617" width="9.140625" style="30"/>
    <col min="15618" max="15618" width="8.7109375" style="30" customWidth="1"/>
    <col min="15619" max="15619" width="35" style="30" customWidth="1"/>
    <col min="15620" max="15623" width="9.140625" style="30"/>
    <col min="15624" max="15624" width="30.7109375" style="30" customWidth="1"/>
    <col min="15625" max="15868" width="9.140625" style="30"/>
    <col min="15869" max="15869" width="39.28515625" style="30" customWidth="1"/>
    <col min="15870" max="15873" width="9.140625" style="30"/>
    <col min="15874" max="15874" width="8.7109375" style="30" customWidth="1"/>
    <col min="15875" max="15875" width="35" style="30" customWidth="1"/>
    <col min="15876" max="15879" width="9.140625" style="30"/>
    <col min="15880" max="15880" width="30.7109375" style="30" customWidth="1"/>
    <col min="15881" max="16124" width="9.140625" style="30"/>
    <col min="16125" max="16125" width="39.28515625" style="30" customWidth="1"/>
    <col min="16126" max="16129" width="9.140625" style="30"/>
    <col min="16130" max="16130" width="8.7109375" style="30" customWidth="1"/>
    <col min="16131" max="16131" width="35" style="30" customWidth="1"/>
    <col min="16132" max="16135" width="9.140625" style="30"/>
    <col min="16136" max="16136" width="30.7109375" style="30" customWidth="1"/>
    <col min="16137" max="16384" width="9.140625" style="30"/>
  </cols>
  <sheetData>
    <row r="1" spans="1:16" ht="30.75" customHeight="1" x14ac:dyDescent="0.25">
      <c r="A1" s="175"/>
      <c r="B1" s="57"/>
      <c r="C1" s="57"/>
      <c r="D1" s="57"/>
      <c r="E1" s="57"/>
      <c r="F1" s="230" t="s">
        <v>1142</v>
      </c>
      <c r="G1" s="230"/>
      <c r="H1" s="230"/>
      <c r="I1" s="230"/>
      <c r="J1" s="230"/>
      <c r="K1" s="230"/>
      <c r="L1" s="230"/>
      <c r="M1" s="230"/>
      <c r="N1" s="230"/>
      <c r="O1" s="230"/>
      <c r="P1" s="230"/>
    </row>
    <row r="2" spans="1:16" ht="24.75" customHeight="1" x14ac:dyDescent="0.25">
      <c r="A2" s="175"/>
      <c r="B2" s="57"/>
      <c r="C2" s="57"/>
      <c r="D2" s="57"/>
      <c r="E2" s="57"/>
      <c r="F2" s="58"/>
      <c r="G2" s="266" t="s">
        <v>763</v>
      </c>
      <c r="H2" s="266"/>
      <c r="I2" s="266"/>
      <c r="J2" s="266"/>
      <c r="K2" s="176"/>
      <c r="L2" s="176"/>
      <c r="M2" s="176"/>
      <c r="N2" s="176"/>
      <c r="O2" s="176"/>
      <c r="P2" s="176"/>
    </row>
    <row r="3" spans="1:16" ht="16.5" customHeight="1" x14ac:dyDescent="0.25">
      <c r="A3" s="216" t="s">
        <v>0</v>
      </c>
      <c r="B3" s="216" t="s">
        <v>1</v>
      </c>
      <c r="C3" s="263" t="s">
        <v>2</v>
      </c>
      <c r="D3" s="263"/>
      <c r="E3" s="263"/>
      <c r="F3" s="216" t="s">
        <v>0</v>
      </c>
      <c r="G3" s="216" t="s">
        <v>1</v>
      </c>
      <c r="H3" s="263" t="s">
        <v>942</v>
      </c>
      <c r="I3" s="263"/>
      <c r="J3" s="263"/>
      <c r="K3" s="216" t="s">
        <v>943</v>
      </c>
      <c r="L3" s="57"/>
      <c r="M3" s="57"/>
      <c r="N3" s="57"/>
      <c r="O3" s="57"/>
      <c r="P3" s="264" t="s">
        <v>944</v>
      </c>
    </row>
    <row r="4" spans="1:16" ht="16.5" customHeight="1" x14ac:dyDescent="0.25">
      <c r="A4" s="216"/>
      <c r="B4" s="216"/>
      <c r="C4" s="60" t="s">
        <v>4</v>
      </c>
      <c r="D4" s="60" t="s">
        <v>3</v>
      </c>
      <c r="E4" s="60" t="s">
        <v>5</v>
      </c>
      <c r="F4" s="216"/>
      <c r="G4" s="216"/>
      <c r="H4" s="177" t="s">
        <v>4</v>
      </c>
      <c r="I4" s="177" t="s">
        <v>3</v>
      </c>
      <c r="J4" s="177" t="s">
        <v>5</v>
      </c>
      <c r="K4" s="216"/>
      <c r="L4" s="57"/>
      <c r="M4" s="57"/>
      <c r="N4" s="57"/>
      <c r="O4" s="57"/>
      <c r="P4" s="265"/>
    </row>
    <row r="5" spans="1:16" s="45" customFormat="1" ht="33" x14ac:dyDescent="0.25">
      <c r="A5" s="60" t="s">
        <v>7</v>
      </c>
      <c r="B5" s="76" t="s">
        <v>817</v>
      </c>
      <c r="C5" s="178"/>
      <c r="D5" s="178"/>
      <c r="E5" s="87"/>
      <c r="F5" s="60" t="s">
        <v>7</v>
      </c>
      <c r="G5" s="76" t="s">
        <v>817</v>
      </c>
      <c r="H5" s="179"/>
      <c r="I5" s="179"/>
      <c r="J5" s="180"/>
      <c r="K5" s="181"/>
      <c r="L5" s="182"/>
      <c r="M5" s="182"/>
      <c r="N5" s="182"/>
      <c r="O5" s="182"/>
      <c r="P5" s="61"/>
    </row>
    <row r="6" spans="1:16" ht="45.6" customHeight="1" x14ac:dyDescent="0.25">
      <c r="A6" s="64">
        <v>1</v>
      </c>
      <c r="B6" s="86" t="s">
        <v>818</v>
      </c>
      <c r="C6" s="87">
        <v>150</v>
      </c>
      <c r="D6" s="178">
        <v>100</v>
      </c>
      <c r="E6" s="87">
        <v>70</v>
      </c>
      <c r="F6" s="64">
        <v>1</v>
      </c>
      <c r="G6" s="86" t="s">
        <v>818</v>
      </c>
      <c r="H6" s="180">
        <f>C6*1.1*70%</f>
        <v>115.49999999999999</v>
      </c>
      <c r="I6" s="180">
        <f t="shared" ref="I6:J21" si="0">D6*1.1*70%</f>
        <v>77</v>
      </c>
      <c r="J6" s="180">
        <f t="shared" si="0"/>
        <v>53.9</v>
      </c>
      <c r="K6" s="65" t="s">
        <v>945</v>
      </c>
      <c r="L6" s="57"/>
      <c r="M6" s="57"/>
      <c r="N6" s="57"/>
      <c r="O6" s="57"/>
      <c r="P6" s="65" t="s">
        <v>946</v>
      </c>
    </row>
    <row r="7" spans="1:16" ht="41.45" customHeight="1" x14ac:dyDescent="0.25">
      <c r="A7" s="64">
        <v>2</v>
      </c>
      <c r="B7" s="86" t="s">
        <v>819</v>
      </c>
      <c r="C7" s="87">
        <v>220</v>
      </c>
      <c r="D7" s="178">
        <v>120</v>
      </c>
      <c r="E7" s="87">
        <v>80</v>
      </c>
      <c r="F7" s="64">
        <v>2</v>
      </c>
      <c r="G7" s="86" t="s">
        <v>819</v>
      </c>
      <c r="H7" s="180">
        <f t="shared" ref="H7:J62" si="1">C7*1.1*70%</f>
        <v>169.4</v>
      </c>
      <c r="I7" s="180">
        <f t="shared" si="0"/>
        <v>92.399999999999991</v>
      </c>
      <c r="J7" s="180">
        <f t="shared" si="0"/>
        <v>61.599999999999994</v>
      </c>
      <c r="K7" s="65" t="s">
        <v>945</v>
      </c>
      <c r="L7" s="57"/>
      <c r="M7" s="57"/>
      <c r="N7" s="57"/>
      <c r="O7" s="57"/>
      <c r="P7" s="65" t="s">
        <v>946</v>
      </c>
    </row>
    <row r="8" spans="1:16" s="45" customFormat="1" ht="32.450000000000003" customHeight="1" x14ac:dyDescent="0.25">
      <c r="A8" s="64">
        <v>3</v>
      </c>
      <c r="B8" s="86" t="s">
        <v>820</v>
      </c>
      <c r="C8" s="91">
        <v>90</v>
      </c>
      <c r="D8" s="178">
        <v>70</v>
      </c>
      <c r="E8" s="87">
        <v>60</v>
      </c>
      <c r="F8" s="64">
        <v>3</v>
      </c>
      <c r="G8" s="86" t="s">
        <v>820</v>
      </c>
      <c r="H8" s="180">
        <f t="shared" si="1"/>
        <v>69.300000000000011</v>
      </c>
      <c r="I8" s="180">
        <f t="shared" si="0"/>
        <v>53.9</v>
      </c>
      <c r="J8" s="180">
        <f t="shared" si="0"/>
        <v>46.199999999999996</v>
      </c>
      <c r="K8" s="65" t="s">
        <v>945</v>
      </c>
      <c r="L8" s="182"/>
      <c r="M8" s="182"/>
      <c r="N8" s="182"/>
      <c r="O8" s="182"/>
      <c r="P8" s="65" t="s">
        <v>946</v>
      </c>
    </row>
    <row r="9" spans="1:16" ht="16.5" x14ac:dyDescent="0.25">
      <c r="A9" s="60" t="s">
        <v>17</v>
      </c>
      <c r="B9" s="76" t="s">
        <v>821</v>
      </c>
      <c r="C9" s="92"/>
      <c r="D9" s="178"/>
      <c r="E9" s="87"/>
      <c r="F9" s="60" t="s">
        <v>17</v>
      </c>
      <c r="G9" s="76" t="s">
        <v>821</v>
      </c>
      <c r="H9" s="180"/>
      <c r="I9" s="180"/>
      <c r="J9" s="180"/>
      <c r="K9" s="92"/>
      <c r="L9" s="57"/>
      <c r="M9" s="57"/>
      <c r="N9" s="57"/>
      <c r="O9" s="57"/>
      <c r="P9" s="65"/>
    </row>
    <row r="10" spans="1:16" s="45" customFormat="1" ht="46.9" customHeight="1" x14ac:dyDescent="0.25">
      <c r="A10" s="64">
        <v>1</v>
      </c>
      <c r="B10" s="86" t="s">
        <v>822</v>
      </c>
      <c r="C10" s="87">
        <v>220</v>
      </c>
      <c r="D10" s="178">
        <v>120</v>
      </c>
      <c r="E10" s="87">
        <v>80</v>
      </c>
      <c r="F10" s="64">
        <v>1</v>
      </c>
      <c r="G10" s="86" t="s">
        <v>822</v>
      </c>
      <c r="H10" s="180">
        <f t="shared" si="1"/>
        <v>169.4</v>
      </c>
      <c r="I10" s="180">
        <f t="shared" si="0"/>
        <v>92.399999999999991</v>
      </c>
      <c r="J10" s="180">
        <f t="shared" si="0"/>
        <v>61.599999999999994</v>
      </c>
      <c r="K10" s="65" t="s">
        <v>945</v>
      </c>
      <c r="L10" s="182"/>
      <c r="M10" s="182"/>
      <c r="N10" s="182"/>
      <c r="O10" s="182"/>
      <c r="P10" s="65" t="s">
        <v>946</v>
      </c>
    </row>
    <row r="11" spans="1:16" ht="39" customHeight="1" x14ac:dyDescent="0.25">
      <c r="A11" s="64">
        <v>2</v>
      </c>
      <c r="B11" s="86" t="s">
        <v>823</v>
      </c>
      <c r="C11" s="87">
        <v>200</v>
      </c>
      <c r="D11" s="183">
        <v>115</v>
      </c>
      <c r="E11" s="183">
        <v>75</v>
      </c>
      <c r="F11" s="64">
        <v>2</v>
      </c>
      <c r="G11" s="86" t="s">
        <v>823</v>
      </c>
      <c r="H11" s="180">
        <f t="shared" si="1"/>
        <v>154</v>
      </c>
      <c r="I11" s="180">
        <f t="shared" si="0"/>
        <v>88.550000000000011</v>
      </c>
      <c r="J11" s="180">
        <f t="shared" si="0"/>
        <v>57.749999999999993</v>
      </c>
      <c r="K11" s="66" t="s">
        <v>947</v>
      </c>
      <c r="L11" s="57">
        <f>D11/C11</f>
        <v>0.57499999999999996</v>
      </c>
      <c r="M11" s="57">
        <f>E11/C11</f>
        <v>0.375</v>
      </c>
      <c r="N11" s="57"/>
      <c r="O11" s="57"/>
      <c r="P11" s="65" t="s">
        <v>948</v>
      </c>
    </row>
    <row r="12" spans="1:16" ht="36.6" customHeight="1" x14ac:dyDescent="0.25">
      <c r="A12" s="64">
        <v>3</v>
      </c>
      <c r="B12" s="86" t="s">
        <v>820</v>
      </c>
      <c r="C12" s="91">
        <v>90</v>
      </c>
      <c r="D12" s="178">
        <v>70</v>
      </c>
      <c r="E12" s="87">
        <v>60</v>
      </c>
      <c r="F12" s="64">
        <v>3</v>
      </c>
      <c r="G12" s="86" t="s">
        <v>820</v>
      </c>
      <c r="H12" s="180">
        <f t="shared" si="1"/>
        <v>69.300000000000011</v>
      </c>
      <c r="I12" s="180">
        <f t="shared" si="0"/>
        <v>53.9</v>
      </c>
      <c r="J12" s="180">
        <f t="shared" si="0"/>
        <v>46.199999999999996</v>
      </c>
      <c r="K12" s="65" t="s">
        <v>945</v>
      </c>
      <c r="L12" s="57"/>
      <c r="M12" s="57"/>
      <c r="N12" s="57"/>
      <c r="O12" s="57"/>
      <c r="P12" s="65" t="s">
        <v>946</v>
      </c>
    </row>
    <row r="13" spans="1:16" ht="16.5" x14ac:dyDescent="0.25">
      <c r="A13" s="60" t="s">
        <v>28</v>
      </c>
      <c r="B13" s="76" t="s">
        <v>824</v>
      </c>
      <c r="C13" s="178"/>
      <c r="D13" s="178"/>
      <c r="E13" s="87"/>
      <c r="F13" s="60" t="s">
        <v>28</v>
      </c>
      <c r="G13" s="76" t="s">
        <v>824</v>
      </c>
      <c r="H13" s="180"/>
      <c r="I13" s="180"/>
      <c r="J13" s="180"/>
      <c r="K13" s="92"/>
      <c r="L13" s="57"/>
      <c r="M13" s="57"/>
      <c r="N13" s="57"/>
      <c r="O13" s="57"/>
      <c r="P13" s="65"/>
    </row>
    <row r="14" spans="1:16" ht="38.450000000000003" customHeight="1" x14ac:dyDescent="0.25">
      <c r="A14" s="64">
        <v>1</v>
      </c>
      <c r="B14" s="86" t="s">
        <v>825</v>
      </c>
      <c r="C14" s="87">
        <v>220</v>
      </c>
      <c r="D14" s="178">
        <v>120</v>
      </c>
      <c r="E14" s="87">
        <v>80</v>
      </c>
      <c r="F14" s="64">
        <v>1</v>
      </c>
      <c r="G14" s="86" t="s">
        <v>825</v>
      </c>
      <c r="H14" s="180">
        <f t="shared" si="1"/>
        <v>169.4</v>
      </c>
      <c r="I14" s="180">
        <f t="shared" si="0"/>
        <v>92.399999999999991</v>
      </c>
      <c r="J14" s="180">
        <f t="shared" si="0"/>
        <v>61.599999999999994</v>
      </c>
      <c r="K14" s="65" t="s">
        <v>945</v>
      </c>
      <c r="L14" s="57"/>
      <c r="M14" s="57"/>
      <c r="N14" s="57"/>
      <c r="O14" s="57"/>
      <c r="P14" s="65" t="s">
        <v>946</v>
      </c>
    </row>
    <row r="15" spans="1:16" s="45" customFormat="1" ht="40.9" customHeight="1" x14ac:dyDescent="0.25">
      <c r="A15" s="64">
        <v>2</v>
      </c>
      <c r="B15" s="86" t="s">
        <v>826</v>
      </c>
      <c r="C15" s="87">
        <v>200</v>
      </c>
      <c r="D15" s="183">
        <v>115</v>
      </c>
      <c r="E15" s="183">
        <v>75</v>
      </c>
      <c r="F15" s="64">
        <v>2</v>
      </c>
      <c r="G15" s="86" t="s">
        <v>826</v>
      </c>
      <c r="H15" s="180">
        <f t="shared" si="1"/>
        <v>154</v>
      </c>
      <c r="I15" s="180">
        <f t="shared" si="0"/>
        <v>88.550000000000011</v>
      </c>
      <c r="J15" s="180">
        <f t="shared" si="0"/>
        <v>57.749999999999993</v>
      </c>
      <c r="K15" s="65" t="s">
        <v>945</v>
      </c>
      <c r="L15" s="182"/>
      <c r="M15" s="182"/>
      <c r="N15" s="182"/>
      <c r="O15" s="182"/>
      <c r="P15" s="65" t="s">
        <v>946</v>
      </c>
    </row>
    <row r="16" spans="1:16" ht="40.15" customHeight="1" x14ac:dyDescent="0.25">
      <c r="A16" s="64">
        <v>3</v>
      </c>
      <c r="B16" s="86" t="s">
        <v>827</v>
      </c>
      <c r="C16" s="87">
        <v>140</v>
      </c>
      <c r="D16" s="178">
        <v>90</v>
      </c>
      <c r="E16" s="87">
        <v>70</v>
      </c>
      <c r="F16" s="64">
        <v>3</v>
      </c>
      <c r="G16" s="86" t="s">
        <v>827</v>
      </c>
      <c r="H16" s="180">
        <f t="shared" si="1"/>
        <v>107.8</v>
      </c>
      <c r="I16" s="180">
        <f t="shared" si="0"/>
        <v>69.300000000000011</v>
      </c>
      <c r="J16" s="180">
        <f t="shared" si="0"/>
        <v>53.9</v>
      </c>
      <c r="K16" s="65" t="s">
        <v>945</v>
      </c>
      <c r="L16" s="57"/>
      <c r="M16" s="57"/>
      <c r="N16" s="57"/>
      <c r="O16" s="57"/>
      <c r="P16" s="65" t="s">
        <v>946</v>
      </c>
    </row>
    <row r="17" spans="1:16" ht="33" customHeight="1" x14ac:dyDescent="0.25">
      <c r="A17" s="64">
        <v>4</v>
      </c>
      <c r="B17" s="86" t="s">
        <v>820</v>
      </c>
      <c r="C17" s="91">
        <v>90</v>
      </c>
      <c r="D17" s="178">
        <v>70</v>
      </c>
      <c r="E17" s="87">
        <v>60</v>
      </c>
      <c r="F17" s="64">
        <v>4</v>
      </c>
      <c r="G17" s="86" t="s">
        <v>820</v>
      </c>
      <c r="H17" s="180">
        <f t="shared" si="1"/>
        <v>69.300000000000011</v>
      </c>
      <c r="I17" s="180">
        <f t="shared" si="0"/>
        <v>53.9</v>
      </c>
      <c r="J17" s="180">
        <f t="shared" si="0"/>
        <v>46.199999999999996</v>
      </c>
      <c r="K17" s="65" t="s">
        <v>945</v>
      </c>
      <c r="L17" s="57"/>
      <c r="M17" s="57"/>
      <c r="N17" s="57"/>
      <c r="O17" s="57"/>
      <c r="P17" s="65" t="s">
        <v>946</v>
      </c>
    </row>
    <row r="18" spans="1:16" s="45" customFormat="1" ht="33" x14ac:dyDescent="0.25">
      <c r="A18" s="60" t="s">
        <v>34</v>
      </c>
      <c r="B18" s="76" t="s">
        <v>828</v>
      </c>
      <c r="C18" s="91"/>
      <c r="D18" s="178"/>
      <c r="E18" s="87"/>
      <c r="F18" s="60" t="s">
        <v>34</v>
      </c>
      <c r="G18" s="76" t="s">
        <v>828</v>
      </c>
      <c r="H18" s="180"/>
      <c r="I18" s="180"/>
      <c r="J18" s="180"/>
      <c r="K18" s="181"/>
      <c r="L18" s="182"/>
      <c r="M18" s="182"/>
      <c r="N18" s="182"/>
      <c r="O18" s="182"/>
      <c r="P18" s="61"/>
    </row>
    <row r="19" spans="1:16" ht="48.6" customHeight="1" x14ac:dyDescent="0.25">
      <c r="A19" s="64">
        <v>1</v>
      </c>
      <c r="B19" s="86" t="s">
        <v>829</v>
      </c>
      <c r="C19" s="87">
        <v>170</v>
      </c>
      <c r="D19" s="178">
        <v>100</v>
      </c>
      <c r="E19" s="87">
        <v>75</v>
      </c>
      <c r="F19" s="64">
        <v>1</v>
      </c>
      <c r="G19" s="86" t="s">
        <v>829</v>
      </c>
      <c r="H19" s="180">
        <f t="shared" si="1"/>
        <v>130.9</v>
      </c>
      <c r="I19" s="180">
        <f t="shared" si="0"/>
        <v>77</v>
      </c>
      <c r="J19" s="180">
        <f t="shared" si="0"/>
        <v>57.749999999999993</v>
      </c>
      <c r="K19" s="65" t="s">
        <v>945</v>
      </c>
      <c r="L19" s="57"/>
      <c r="M19" s="57"/>
      <c r="N19" s="57"/>
      <c r="O19" s="57"/>
      <c r="P19" s="65" t="s">
        <v>946</v>
      </c>
    </row>
    <row r="20" spans="1:16" ht="48.6" customHeight="1" x14ac:dyDescent="0.25">
      <c r="A20" s="64">
        <v>2</v>
      </c>
      <c r="B20" s="86" t="s">
        <v>830</v>
      </c>
      <c r="C20" s="87">
        <v>120</v>
      </c>
      <c r="D20" s="178">
        <v>85</v>
      </c>
      <c r="E20" s="87">
        <v>70</v>
      </c>
      <c r="F20" s="64">
        <v>2</v>
      </c>
      <c r="G20" s="86" t="s">
        <v>830</v>
      </c>
      <c r="H20" s="180">
        <f t="shared" si="1"/>
        <v>92.399999999999991</v>
      </c>
      <c r="I20" s="180">
        <f t="shared" si="0"/>
        <v>65.45</v>
      </c>
      <c r="J20" s="180">
        <f t="shared" si="0"/>
        <v>53.9</v>
      </c>
      <c r="K20" s="65" t="s">
        <v>945</v>
      </c>
      <c r="L20" s="57"/>
      <c r="M20" s="57"/>
      <c r="N20" s="57"/>
      <c r="O20" s="57"/>
      <c r="P20" s="65" t="s">
        <v>946</v>
      </c>
    </row>
    <row r="21" spans="1:16" ht="46.15" customHeight="1" x14ac:dyDescent="0.25">
      <c r="A21" s="64">
        <v>3</v>
      </c>
      <c r="B21" s="86" t="s">
        <v>831</v>
      </c>
      <c r="C21" s="91">
        <v>105</v>
      </c>
      <c r="D21" s="178">
        <v>80</v>
      </c>
      <c r="E21" s="87">
        <v>65</v>
      </c>
      <c r="F21" s="64">
        <v>3</v>
      </c>
      <c r="G21" s="86" t="s">
        <v>831</v>
      </c>
      <c r="H21" s="180">
        <f t="shared" si="1"/>
        <v>80.850000000000009</v>
      </c>
      <c r="I21" s="180">
        <f t="shared" si="0"/>
        <v>61.599999999999994</v>
      </c>
      <c r="J21" s="180">
        <f t="shared" si="0"/>
        <v>50.05</v>
      </c>
      <c r="K21" s="65" t="s">
        <v>945</v>
      </c>
      <c r="L21" s="57"/>
      <c r="M21" s="57"/>
      <c r="N21" s="57"/>
      <c r="O21" s="57"/>
      <c r="P21" s="65" t="s">
        <v>946</v>
      </c>
    </row>
    <row r="22" spans="1:16" ht="39" customHeight="1" x14ac:dyDescent="0.25">
      <c r="A22" s="64">
        <v>4</v>
      </c>
      <c r="B22" s="86"/>
      <c r="C22" s="91"/>
      <c r="D22" s="178"/>
      <c r="E22" s="87"/>
      <c r="F22" s="64" t="s">
        <v>949</v>
      </c>
      <c r="G22" s="86" t="s">
        <v>950</v>
      </c>
      <c r="H22" s="180">
        <f>110*0.7</f>
        <v>77</v>
      </c>
      <c r="I22" s="180">
        <v>59</v>
      </c>
      <c r="J22" s="180">
        <v>48</v>
      </c>
      <c r="K22" s="86" t="s">
        <v>951</v>
      </c>
      <c r="L22" s="57"/>
      <c r="M22" s="184" t="s">
        <v>952</v>
      </c>
      <c r="N22" s="57"/>
      <c r="O22" s="57"/>
      <c r="P22" s="64" t="s">
        <v>953</v>
      </c>
    </row>
    <row r="23" spans="1:16" ht="35.450000000000003" customHeight="1" x14ac:dyDescent="0.25">
      <c r="A23" s="64">
        <v>5</v>
      </c>
      <c r="B23" s="86" t="s">
        <v>820</v>
      </c>
      <c r="C23" s="91">
        <v>90</v>
      </c>
      <c r="D23" s="178">
        <v>70</v>
      </c>
      <c r="E23" s="87">
        <v>60</v>
      </c>
      <c r="F23" s="64">
        <v>4</v>
      </c>
      <c r="G23" s="86" t="s">
        <v>820</v>
      </c>
      <c r="H23" s="180">
        <f t="shared" si="1"/>
        <v>69.300000000000011</v>
      </c>
      <c r="I23" s="180">
        <f t="shared" si="1"/>
        <v>53.9</v>
      </c>
      <c r="J23" s="180">
        <f t="shared" si="1"/>
        <v>46.199999999999996</v>
      </c>
      <c r="K23" s="65" t="s">
        <v>945</v>
      </c>
      <c r="L23" s="57"/>
      <c r="M23" s="57"/>
      <c r="N23" s="57"/>
      <c r="O23" s="57"/>
      <c r="P23" s="65" t="s">
        <v>946</v>
      </c>
    </row>
    <row r="24" spans="1:16" ht="33" x14ac:dyDescent="0.25">
      <c r="A24" s="60" t="s">
        <v>42</v>
      </c>
      <c r="B24" s="76" t="s">
        <v>832</v>
      </c>
      <c r="C24" s="91"/>
      <c r="D24" s="178"/>
      <c r="E24" s="87"/>
      <c r="F24" s="60" t="s">
        <v>42</v>
      </c>
      <c r="G24" s="76" t="s">
        <v>832</v>
      </c>
      <c r="H24" s="180"/>
      <c r="I24" s="180"/>
      <c r="J24" s="180"/>
      <c r="K24" s="92"/>
      <c r="L24" s="57"/>
      <c r="M24" s="57"/>
      <c r="N24" s="57"/>
      <c r="O24" s="57"/>
      <c r="P24" s="65"/>
    </row>
    <row r="25" spans="1:16" ht="45.6" customHeight="1" x14ac:dyDescent="0.25">
      <c r="A25" s="64">
        <v>1</v>
      </c>
      <c r="B25" s="86" t="s">
        <v>833</v>
      </c>
      <c r="C25" s="87">
        <v>230</v>
      </c>
      <c r="D25" s="178">
        <v>125</v>
      </c>
      <c r="E25" s="87">
        <v>80</v>
      </c>
      <c r="F25" s="64">
        <v>1</v>
      </c>
      <c r="G25" s="86" t="s">
        <v>833</v>
      </c>
      <c r="H25" s="180">
        <f t="shared" si="1"/>
        <v>177.10000000000002</v>
      </c>
      <c r="I25" s="180">
        <f t="shared" si="1"/>
        <v>96.25</v>
      </c>
      <c r="J25" s="180">
        <f t="shared" si="1"/>
        <v>61.599999999999994</v>
      </c>
      <c r="K25" s="65" t="s">
        <v>945</v>
      </c>
      <c r="L25" s="57"/>
      <c r="M25" s="57"/>
      <c r="N25" s="57"/>
      <c r="O25" s="57"/>
      <c r="P25" s="65" t="s">
        <v>946</v>
      </c>
    </row>
    <row r="26" spans="1:16" ht="46.9" customHeight="1" x14ac:dyDescent="0.25">
      <c r="A26" s="64">
        <v>2</v>
      </c>
      <c r="B26" s="86" t="s">
        <v>834</v>
      </c>
      <c r="C26" s="87">
        <v>220</v>
      </c>
      <c r="D26" s="178">
        <v>120</v>
      </c>
      <c r="E26" s="87">
        <v>80</v>
      </c>
      <c r="F26" s="64">
        <v>2</v>
      </c>
      <c r="G26" s="86" t="s">
        <v>834</v>
      </c>
      <c r="H26" s="180">
        <f t="shared" si="1"/>
        <v>169.4</v>
      </c>
      <c r="I26" s="180">
        <f t="shared" si="1"/>
        <v>92.399999999999991</v>
      </c>
      <c r="J26" s="180">
        <f t="shared" si="1"/>
        <v>61.599999999999994</v>
      </c>
      <c r="K26" s="65" t="s">
        <v>945</v>
      </c>
      <c r="L26" s="57"/>
      <c r="M26" s="57"/>
      <c r="N26" s="57"/>
      <c r="O26" s="57"/>
      <c r="P26" s="65" t="s">
        <v>946</v>
      </c>
    </row>
    <row r="27" spans="1:16" ht="46.15" customHeight="1" x14ac:dyDescent="0.25">
      <c r="A27" s="64">
        <v>3</v>
      </c>
      <c r="B27" s="86" t="s">
        <v>835</v>
      </c>
      <c r="C27" s="87">
        <v>170</v>
      </c>
      <c r="D27" s="178">
        <v>100</v>
      </c>
      <c r="E27" s="87">
        <v>75</v>
      </c>
      <c r="F27" s="64">
        <v>3</v>
      </c>
      <c r="G27" s="86" t="s">
        <v>835</v>
      </c>
      <c r="H27" s="180">
        <f t="shared" si="1"/>
        <v>130.9</v>
      </c>
      <c r="I27" s="180">
        <f t="shared" si="1"/>
        <v>77</v>
      </c>
      <c r="J27" s="180">
        <f t="shared" si="1"/>
        <v>57.749999999999993</v>
      </c>
      <c r="K27" s="65" t="s">
        <v>945</v>
      </c>
      <c r="L27" s="57"/>
      <c r="M27" s="57"/>
      <c r="N27" s="57"/>
      <c r="O27" s="57"/>
      <c r="P27" s="65" t="s">
        <v>946</v>
      </c>
    </row>
    <row r="28" spans="1:16" s="45" customFormat="1" ht="34.15" customHeight="1" x14ac:dyDescent="0.25">
      <c r="A28" s="64">
        <v>4</v>
      </c>
      <c r="B28" s="86" t="s">
        <v>820</v>
      </c>
      <c r="C28" s="91">
        <v>90</v>
      </c>
      <c r="D28" s="178">
        <v>70</v>
      </c>
      <c r="E28" s="87">
        <v>60</v>
      </c>
      <c r="F28" s="64">
        <v>4</v>
      </c>
      <c r="G28" s="86" t="s">
        <v>820</v>
      </c>
      <c r="H28" s="180">
        <f t="shared" si="1"/>
        <v>69.300000000000011</v>
      </c>
      <c r="I28" s="180">
        <f t="shared" si="1"/>
        <v>53.9</v>
      </c>
      <c r="J28" s="180">
        <f t="shared" si="1"/>
        <v>46.199999999999996</v>
      </c>
      <c r="K28" s="65" t="s">
        <v>945</v>
      </c>
      <c r="L28" s="182"/>
      <c r="M28" s="182"/>
      <c r="N28" s="182"/>
      <c r="O28" s="182"/>
      <c r="P28" s="65" t="s">
        <v>946</v>
      </c>
    </row>
    <row r="29" spans="1:16" ht="33" x14ac:dyDescent="0.25">
      <c r="A29" s="60" t="s">
        <v>250</v>
      </c>
      <c r="B29" s="76" t="s">
        <v>836</v>
      </c>
      <c r="C29" s="64"/>
      <c r="D29" s="178"/>
      <c r="E29" s="87"/>
      <c r="F29" s="60" t="s">
        <v>250</v>
      </c>
      <c r="G29" s="76" t="s">
        <v>836</v>
      </c>
      <c r="H29" s="180"/>
      <c r="I29" s="180"/>
      <c r="J29" s="180"/>
      <c r="K29" s="92"/>
      <c r="L29" s="57"/>
      <c r="M29" s="57"/>
      <c r="N29" s="57"/>
      <c r="O29" s="57"/>
      <c r="P29" s="65"/>
    </row>
    <row r="30" spans="1:16" ht="44.45" customHeight="1" x14ac:dyDescent="0.25">
      <c r="A30" s="64">
        <v>1</v>
      </c>
      <c r="B30" s="185" t="s">
        <v>837</v>
      </c>
      <c r="C30" s="87">
        <v>120</v>
      </c>
      <c r="D30" s="178">
        <v>85</v>
      </c>
      <c r="E30" s="87">
        <v>70</v>
      </c>
      <c r="F30" s="64">
        <v>1</v>
      </c>
      <c r="G30" s="185" t="s">
        <v>837</v>
      </c>
      <c r="H30" s="180">
        <f t="shared" si="1"/>
        <v>92.399999999999991</v>
      </c>
      <c r="I30" s="180">
        <v>66</v>
      </c>
      <c r="J30" s="180">
        <f t="shared" si="1"/>
        <v>53.9</v>
      </c>
      <c r="K30" s="66" t="s">
        <v>954</v>
      </c>
      <c r="L30" s="186">
        <f>D30/C30</f>
        <v>0.70833333333333337</v>
      </c>
      <c r="M30" s="57">
        <f>E30/C30</f>
        <v>0.58333333333333337</v>
      </c>
      <c r="N30" s="57"/>
      <c r="O30" s="57"/>
      <c r="P30" s="64" t="s">
        <v>955</v>
      </c>
    </row>
    <row r="31" spans="1:16" ht="46.15" customHeight="1" x14ac:dyDescent="0.25">
      <c r="A31" s="64">
        <v>2</v>
      </c>
      <c r="B31" s="185" t="s">
        <v>838</v>
      </c>
      <c r="C31" s="87">
        <v>180</v>
      </c>
      <c r="D31" s="178">
        <v>100</v>
      </c>
      <c r="E31" s="87">
        <v>75</v>
      </c>
      <c r="F31" s="64">
        <v>2</v>
      </c>
      <c r="G31" s="185" t="s">
        <v>838</v>
      </c>
      <c r="H31" s="180">
        <f t="shared" si="1"/>
        <v>138.60000000000002</v>
      </c>
      <c r="I31" s="180">
        <f t="shared" si="1"/>
        <v>77</v>
      </c>
      <c r="J31" s="180">
        <f t="shared" si="1"/>
        <v>57.749999999999993</v>
      </c>
      <c r="K31" s="65" t="s">
        <v>945</v>
      </c>
      <c r="L31" s="57"/>
      <c r="M31" s="57"/>
      <c r="N31" s="57"/>
      <c r="O31" s="57"/>
      <c r="P31" s="65" t="s">
        <v>946</v>
      </c>
    </row>
    <row r="32" spans="1:16" ht="49.9" customHeight="1" x14ac:dyDescent="0.25">
      <c r="A32" s="64">
        <v>3</v>
      </c>
      <c r="B32" s="185" t="s">
        <v>839</v>
      </c>
      <c r="C32" s="87">
        <v>120</v>
      </c>
      <c r="D32" s="178">
        <v>85</v>
      </c>
      <c r="E32" s="87">
        <v>70</v>
      </c>
      <c r="F32" s="64">
        <v>3</v>
      </c>
      <c r="G32" s="185" t="s">
        <v>839</v>
      </c>
      <c r="H32" s="180">
        <f t="shared" si="1"/>
        <v>92.399999999999991</v>
      </c>
      <c r="I32" s="180">
        <f t="shared" si="1"/>
        <v>65.45</v>
      </c>
      <c r="J32" s="180">
        <f t="shared" si="1"/>
        <v>53.9</v>
      </c>
      <c r="K32" s="65" t="s">
        <v>945</v>
      </c>
      <c r="L32" s="57"/>
      <c r="M32" s="57"/>
      <c r="N32" s="57"/>
      <c r="O32" s="57"/>
      <c r="P32" s="65" t="s">
        <v>946</v>
      </c>
    </row>
    <row r="33" spans="1:16" ht="49.9" customHeight="1" x14ac:dyDescent="0.25">
      <c r="A33" s="64">
        <v>4</v>
      </c>
      <c r="B33" s="86" t="s">
        <v>840</v>
      </c>
      <c r="C33" s="91">
        <v>105</v>
      </c>
      <c r="D33" s="178">
        <v>80</v>
      </c>
      <c r="E33" s="87">
        <v>65</v>
      </c>
      <c r="F33" s="64">
        <v>4</v>
      </c>
      <c r="G33" s="86" t="s">
        <v>840</v>
      </c>
      <c r="H33" s="180">
        <f t="shared" si="1"/>
        <v>80.850000000000009</v>
      </c>
      <c r="I33" s="180">
        <f t="shared" si="1"/>
        <v>61.599999999999994</v>
      </c>
      <c r="J33" s="180">
        <f t="shared" si="1"/>
        <v>50.05</v>
      </c>
      <c r="K33" s="65" t="s">
        <v>945</v>
      </c>
      <c r="L33" s="57"/>
      <c r="M33" s="57"/>
      <c r="N33" s="57"/>
      <c r="O33" s="57"/>
      <c r="P33" s="65" t="s">
        <v>946</v>
      </c>
    </row>
    <row r="34" spans="1:16" ht="49.9" customHeight="1" x14ac:dyDescent="0.25">
      <c r="A34" s="64">
        <v>5</v>
      </c>
      <c r="B34" s="86" t="s">
        <v>841</v>
      </c>
      <c r="C34" s="91">
        <v>90</v>
      </c>
      <c r="D34" s="178">
        <v>70</v>
      </c>
      <c r="E34" s="87">
        <v>60</v>
      </c>
      <c r="F34" s="64">
        <v>5</v>
      </c>
      <c r="G34" s="86" t="s">
        <v>841</v>
      </c>
      <c r="H34" s="180">
        <f t="shared" si="1"/>
        <v>69.300000000000011</v>
      </c>
      <c r="I34" s="180">
        <f t="shared" si="1"/>
        <v>53.9</v>
      </c>
      <c r="J34" s="180">
        <f t="shared" si="1"/>
        <v>46.199999999999996</v>
      </c>
      <c r="K34" s="65" t="s">
        <v>945</v>
      </c>
      <c r="L34" s="57"/>
      <c r="M34" s="57"/>
      <c r="N34" s="57"/>
      <c r="O34" s="57"/>
      <c r="P34" s="65" t="s">
        <v>946</v>
      </c>
    </row>
    <row r="35" spans="1:16" ht="33.6" customHeight="1" x14ac:dyDescent="0.25">
      <c r="A35" s="64">
        <v>6</v>
      </c>
      <c r="B35" s="86" t="s">
        <v>820</v>
      </c>
      <c r="C35" s="91">
        <v>85</v>
      </c>
      <c r="D35" s="178">
        <v>70</v>
      </c>
      <c r="E35" s="87">
        <v>60</v>
      </c>
      <c r="F35" s="64">
        <v>6</v>
      </c>
      <c r="G35" s="86" t="s">
        <v>820</v>
      </c>
      <c r="H35" s="180">
        <f t="shared" si="1"/>
        <v>65.45</v>
      </c>
      <c r="I35" s="180">
        <f t="shared" si="1"/>
        <v>53.9</v>
      </c>
      <c r="J35" s="180">
        <f t="shared" si="1"/>
        <v>46.199999999999996</v>
      </c>
      <c r="K35" s="65" t="s">
        <v>945</v>
      </c>
      <c r="L35" s="57"/>
      <c r="M35" s="57"/>
      <c r="N35" s="57"/>
      <c r="O35" s="57"/>
      <c r="P35" s="65" t="s">
        <v>946</v>
      </c>
    </row>
    <row r="36" spans="1:16" ht="16.5" x14ac:dyDescent="0.25">
      <c r="A36" s="60" t="s">
        <v>251</v>
      </c>
      <c r="B36" s="76" t="s">
        <v>842</v>
      </c>
      <c r="C36" s="91"/>
      <c r="D36" s="178"/>
      <c r="E36" s="87"/>
      <c r="F36" s="60" t="s">
        <v>251</v>
      </c>
      <c r="G36" s="76" t="s">
        <v>842</v>
      </c>
      <c r="H36" s="180"/>
      <c r="I36" s="180"/>
      <c r="J36" s="180"/>
      <c r="K36" s="92"/>
      <c r="L36" s="57"/>
      <c r="M36" s="57"/>
      <c r="N36" s="57"/>
      <c r="O36" s="57"/>
      <c r="P36" s="65"/>
    </row>
    <row r="37" spans="1:16" ht="44.45" customHeight="1" x14ac:dyDescent="0.25">
      <c r="A37" s="64">
        <v>1</v>
      </c>
      <c r="B37" s="86" t="s">
        <v>843</v>
      </c>
      <c r="C37" s="87">
        <v>180</v>
      </c>
      <c r="D37" s="178">
        <v>100</v>
      </c>
      <c r="E37" s="87">
        <v>75</v>
      </c>
      <c r="F37" s="64">
        <v>1</v>
      </c>
      <c r="G37" s="86" t="s">
        <v>843</v>
      </c>
      <c r="H37" s="180">
        <f t="shared" si="1"/>
        <v>138.60000000000002</v>
      </c>
      <c r="I37" s="180">
        <f t="shared" si="1"/>
        <v>77</v>
      </c>
      <c r="J37" s="180">
        <f t="shared" si="1"/>
        <v>57.749999999999993</v>
      </c>
      <c r="K37" s="65" t="s">
        <v>945</v>
      </c>
      <c r="L37" s="57"/>
      <c r="M37" s="57"/>
      <c r="N37" s="57"/>
      <c r="O37" s="57"/>
      <c r="P37" s="65" t="s">
        <v>946</v>
      </c>
    </row>
    <row r="38" spans="1:16" ht="46.9" customHeight="1" x14ac:dyDescent="0.25">
      <c r="A38" s="64">
        <v>2</v>
      </c>
      <c r="B38" s="86" t="s">
        <v>844</v>
      </c>
      <c r="C38" s="87">
        <v>115</v>
      </c>
      <c r="D38" s="178">
        <v>80</v>
      </c>
      <c r="E38" s="87">
        <v>60</v>
      </c>
      <c r="F38" s="64">
        <v>2</v>
      </c>
      <c r="G38" s="86" t="s">
        <v>844</v>
      </c>
      <c r="H38" s="180">
        <f t="shared" si="1"/>
        <v>88.550000000000011</v>
      </c>
      <c r="I38" s="180">
        <f t="shared" si="1"/>
        <v>61.599999999999994</v>
      </c>
      <c r="J38" s="180">
        <f t="shared" si="1"/>
        <v>46.199999999999996</v>
      </c>
      <c r="K38" s="65" t="s">
        <v>945</v>
      </c>
      <c r="L38" s="57"/>
      <c r="M38" s="57"/>
      <c r="N38" s="57"/>
      <c r="O38" s="57"/>
      <c r="P38" s="65" t="s">
        <v>946</v>
      </c>
    </row>
    <row r="39" spans="1:16" ht="19.5" customHeight="1" x14ac:dyDescent="0.25">
      <c r="A39" s="64">
        <v>3</v>
      </c>
      <c r="B39" s="86" t="s">
        <v>820</v>
      </c>
      <c r="C39" s="91">
        <v>85</v>
      </c>
      <c r="D39" s="178">
        <v>70</v>
      </c>
      <c r="E39" s="87">
        <v>60</v>
      </c>
      <c r="F39" s="64">
        <v>3</v>
      </c>
      <c r="G39" s="86" t="s">
        <v>820</v>
      </c>
      <c r="H39" s="180">
        <f t="shared" si="1"/>
        <v>65.45</v>
      </c>
      <c r="I39" s="180">
        <f t="shared" si="1"/>
        <v>53.9</v>
      </c>
      <c r="J39" s="180">
        <f t="shared" si="1"/>
        <v>46.199999999999996</v>
      </c>
      <c r="K39" s="65" t="s">
        <v>945</v>
      </c>
      <c r="L39" s="57"/>
      <c r="M39" s="57"/>
      <c r="N39" s="57"/>
      <c r="O39" s="57"/>
      <c r="P39" s="65" t="s">
        <v>946</v>
      </c>
    </row>
    <row r="40" spans="1:16" ht="16.5" x14ac:dyDescent="0.25">
      <c r="A40" s="60" t="s">
        <v>315</v>
      </c>
      <c r="B40" s="76" t="s">
        <v>845</v>
      </c>
      <c r="C40" s="91"/>
      <c r="D40" s="178"/>
      <c r="E40" s="87"/>
      <c r="F40" s="60" t="s">
        <v>315</v>
      </c>
      <c r="G40" s="76" t="s">
        <v>845</v>
      </c>
      <c r="H40" s="180"/>
      <c r="I40" s="180"/>
      <c r="J40" s="180"/>
      <c r="K40" s="92"/>
      <c r="L40" s="57"/>
      <c r="M40" s="57"/>
      <c r="N40" s="57"/>
      <c r="O40" s="57"/>
      <c r="P40" s="65"/>
    </row>
    <row r="41" spans="1:16" ht="45" customHeight="1" x14ac:dyDescent="0.25">
      <c r="A41" s="64">
        <v>1</v>
      </c>
      <c r="B41" s="86" t="s">
        <v>846</v>
      </c>
      <c r="C41" s="87">
        <v>120</v>
      </c>
      <c r="D41" s="178">
        <v>85</v>
      </c>
      <c r="E41" s="87">
        <v>70</v>
      </c>
      <c r="F41" s="64">
        <v>1</v>
      </c>
      <c r="G41" s="86" t="s">
        <v>846</v>
      </c>
      <c r="H41" s="180">
        <f t="shared" si="1"/>
        <v>92.399999999999991</v>
      </c>
      <c r="I41" s="180">
        <f t="shared" si="1"/>
        <v>65.45</v>
      </c>
      <c r="J41" s="180">
        <f t="shared" si="1"/>
        <v>53.9</v>
      </c>
      <c r="K41" s="65" t="s">
        <v>945</v>
      </c>
      <c r="L41" s="57"/>
      <c r="M41" s="57"/>
      <c r="N41" s="57"/>
      <c r="O41" s="57"/>
      <c r="P41" s="65" t="s">
        <v>946</v>
      </c>
    </row>
    <row r="42" spans="1:16" ht="45" customHeight="1" x14ac:dyDescent="0.25">
      <c r="A42" s="64">
        <v>2</v>
      </c>
      <c r="B42" s="86" t="s">
        <v>847</v>
      </c>
      <c r="C42" s="87">
        <v>190</v>
      </c>
      <c r="D42" s="178">
        <v>100</v>
      </c>
      <c r="E42" s="87">
        <v>75</v>
      </c>
      <c r="F42" s="64">
        <v>2</v>
      </c>
      <c r="G42" s="86" t="s">
        <v>847</v>
      </c>
      <c r="H42" s="180">
        <f t="shared" si="1"/>
        <v>146.30000000000001</v>
      </c>
      <c r="I42" s="180">
        <f t="shared" si="1"/>
        <v>77</v>
      </c>
      <c r="J42" s="180">
        <f t="shared" si="1"/>
        <v>57.749999999999993</v>
      </c>
      <c r="K42" s="65" t="s">
        <v>945</v>
      </c>
      <c r="L42" s="57"/>
      <c r="M42" s="57"/>
      <c r="N42" s="57"/>
      <c r="O42" s="57"/>
      <c r="P42" s="65" t="s">
        <v>946</v>
      </c>
    </row>
    <row r="43" spans="1:16" ht="43.15" customHeight="1" x14ac:dyDescent="0.25">
      <c r="A43" s="64">
        <v>3</v>
      </c>
      <c r="B43" s="86" t="s">
        <v>956</v>
      </c>
      <c r="C43" s="87">
        <v>120</v>
      </c>
      <c r="D43" s="178">
        <v>85</v>
      </c>
      <c r="E43" s="87">
        <v>70</v>
      </c>
      <c r="F43" s="64">
        <v>3</v>
      </c>
      <c r="G43" s="86" t="s">
        <v>956</v>
      </c>
      <c r="H43" s="180">
        <f t="shared" si="1"/>
        <v>92.399999999999991</v>
      </c>
      <c r="I43" s="180">
        <f t="shared" si="1"/>
        <v>65.45</v>
      </c>
      <c r="J43" s="180">
        <f t="shared" si="1"/>
        <v>53.9</v>
      </c>
      <c r="K43" s="65" t="s">
        <v>945</v>
      </c>
      <c r="L43" s="57"/>
      <c r="M43" s="57"/>
      <c r="N43" s="57"/>
      <c r="O43" s="57"/>
      <c r="P43" s="65" t="s">
        <v>946</v>
      </c>
    </row>
    <row r="44" spans="1:16" ht="22.5" customHeight="1" x14ac:dyDescent="0.25">
      <c r="A44" s="64">
        <v>4</v>
      </c>
      <c r="B44" s="86" t="s">
        <v>820</v>
      </c>
      <c r="C44" s="91">
        <v>85</v>
      </c>
      <c r="D44" s="178">
        <v>70</v>
      </c>
      <c r="E44" s="87">
        <v>60</v>
      </c>
      <c r="F44" s="64">
        <v>4</v>
      </c>
      <c r="G44" s="86" t="s">
        <v>820</v>
      </c>
      <c r="H44" s="180">
        <f t="shared" si="1"/>
        <v>65.45</v>
      </c>
      <c r="I44" s="180">
        <f t="shared" si="1"/>
        <v>53.9</v>
      </c>
      <c r="J44" s="180">
        <f t="shared" si="1"/>
        <v>46.199999999999996</v>
      </c>
      <c r="K44" s="65" t="s">
        <v>945</v>
      </c>
      <c r="L44" s="57"/>
      <c r="M44" s="57"/>
      <c r="N44" s="57"/>
      <c r="O44" s="57"/>
      <c r="P44" s="65" t="s">
        <v>946</v>
      </c>
    </row>
    <row r="45" spans="1:16" ht="16.5" x14ac:dyDescent="0.25">
      <c r="A45" s="60" t="s">
        <v>321</v>
      </c>
      <c r="B45" s="76" t="s">
        <v>848</v>
      </c>
      <c r="C45" s="91"/>
      <c r="D45" s="178"/>
      <c r="E45" s="87"/>
      <c r="F45" s="60" t="s">
        <v>321</v>
      </c>
      <c r="G45" s="76" t="s">
        <v>848</v>
      </c>
      <c r="H45" s="180"/>
      <c r="I45" s="180"/>
      <c r="J45" s="180"/>
      <c r="K45" s="92"/>
      <c r="L45" s="57"/>
      <c r="M45" s="57"/>
      <c r="N45" s="57"/>
      <c r="O45" s="57"/>
      <c r="P45" s="65"/>
    </row>
    <row r="46" spans="1:16" ht="49.15" customHeight="1" x14ac:dyDescent="0.25">
      <c r="A46" s="64">
        <v>1</v>
      </c>
      <c r="B46" s="86" t="s">
        <v>849</v>
      </c>
      <c r="C46" s="87">
        <v>130</v>
      </c>
      <c r="D46" s="178">
        <v>85</v>
      </c>
      <c r="E46" s="87">
        <v>70</v>
      </c>
      <c r="F46" s="64">
        <v>1</v>
      </c>
      <c r="G46" s="86" t="s">
        <v>849</v>
      </c>
      <c r="H46" s="180">
        <f t="shared" si="1"/>
        <v>100.1</v>
      </c>
      <c r="I46" s="180">
        <f t="shared" si="1"/>
        <v>65.45</v>
      </c>
      <c r="J46" s="180">
        <f t="shared" si="1"/>
        <v>53.9</v>
      </c>
      <c r="K46" s="65" t="s">
        <v>945</v>
      </c>
      <c r="L46" s="57"/>
      <c r="M46" s="57"/>
      <c r="N46" s="57"/>
      <c r="O46" s="57"/>
      <c r="P46" s="65" t="s">
        <v>946</v>
      </c>
    </row>
    <row r="47" spans="1:16" ht="49.15" customHeight="1" x14ac:dyDescent="0.25">
      <c r="A47" s="64">
        <v>2</v>
      </c>
      <c r="B47" s="86" t="s">
        <v>850</v>
      </c>
      <c r="C47" s="87">
        <v>180</v>
      </c>
      <c r="D47" s="178">
        <v>100</v>
      </c>
      <c r="E47" s="87">
        <v>75</v>
      </c>
      <c r="F47" s="64">
        <v>2</v>
      </c>
      <c r="G47" s="86" t="s">
        <v>850</v>
      </c>
      <c r="H47" s="180">
        <f t="shared" si="1"/>
        <v>138.60000000000002</v>
      </c>
      <c r="I47" s="180">
        <f t="shared" si="1"/>
        <v>77</v>
      </c>
      <c r="J47" s="180">
        <f t="shared" si="1"/>
        <v>57.749999999999993</v>
      </c>
      <c r="K47" s="65" t="s">
        <v>945</v>
      </c>
      <c r="L47" s="57"/>
      <c r="M47" s="57"/>
      <c r="N47" s="57"/>
      <c r="O47" s="57"/>
      <c r="P47" s="65" t="s">
        <v>946</v>
      </c>
    </row>
    <row r="48" spans="1:16" ht="42.6" customHeight="1" x14ac:dyDescent="0.25">
      <c r="A48" s="64">
        <v>3</v>
      </c>
      <c r="B48" s="86" t="s">
        <v>851</v>
      </c>
      <c r="C48" s="87">
        <v>130</v>
      </c>
      <c r="D48" s="178">
        <v>85</v>
      </c>
      <c r="E48" s="87">
        <v>70</v>
      </c>
      <c r="F48" s="64">
        <v>3</v>
      </c>
      <c r="G48" s="86" t="s">
        <v>851</v>
      </c>
      <c r="H48" s="180">
        <f t="shared" si="1"/>
        <v>100.1</v>
      </c>
      <c r="I48" s="180">
        <f t="shared" si="1"/>
        <v>65.45</v>
      </c>
      <c r="J48" s="180">
        <f t="shared" si="1"/>
        <v>53.9</v>
      </c>
      <c r="K48" s="65" t="s">
        <v>945</v>
      </c>
      <c r="L48" s="57"/>
      <c r="M48" s="57"/>
      <c r="N48" s="57"/>
      <c r="O48" s="57"/>
      <c r="P48" s="65" t="s">
        <v>946</v>
      </c>
    </row>
    <row r="49" spans="1:16" ht="46.15" customHeight="1" x14ac:dyDescent="0.25">
      <c r="A49" s="64">
        <v>4</v>
      </c>
      <c r="B49" s="86"/>
      <c r="C49" s="87"/>
      <c r="D49" s="178"/>
      <c r="E49" s="87"/>
      <c r="F49" s="64">
        <v>4</v>
      </c>
      <c r="G49" s="86" t="s">
        <v>852</v>
      </c>
      <c r="H49" s="180">
        <f>110*0.7</f>
        <v>77</v>
      </c>
      <c r="I49" s="180">
        <f>90*0.7</f>
        <v>62.999999999999993</v>
      </c>
      <c r="J49" s="180">
        <f>70*0.7</f>
        <v>49</v>
      </c>
      <c r="K49" s="86" t="s">
        <v>957</v>
      </c>
      <c r="L49" s="57"/>
      <c r="M49" s="77" t="s">
        <v>958</v>
      </c>
      <c r="N49" s="57"/>
      <c r="O49" s="57"/>
      <c r="P49" s="64" t="s">
        <v>959</v>
      </c>
    </row>
    <row r="50" spans="1:16" ht="46.15" customHeight="1" x14ac:dyDescent="0.25">
      <c r="A50" s="64">
        <v>5</v>
      </c>
      <c r="B50" s="86"/>
      <c r="C50" s="87"/>
      <c r="D50" s="178"/>
      <c r="E50" s="87"/>
      <c r="F50" s="64">
        <v>5</v>
      </c>
      <c r="G50" s="86" t="s">
        <v>853</v>
      </c>
      <c r="H50" s="180">
        <f>110*0.7</f>
        <v>77</v>
      </c>
      <c r="I50" s="180">
        <f>90*0.7</f>
        <v>62.999999999999993</v>
      </c>
      <c r="J50" s="180">
        <f>70*0.7</f>
        <v>49</v>
      </c>
      <c r="K50" s="86" t="s">
        <v>957</v>
      </c>
      <c r="L50" s="57"/>
      <c r="M50" s="77" t="s">
        <v>958</v>
      </c>
      <c r="N50" s="57"/>
      <c r="O50" s="57"/>
      <c r="P50" s="64" t="s">
        <v>959</v>
      </c>
    </row>
    <row r="51" spans="1:16" ht="22.5" customHeight="1" x14ac:dyDescent="0.25">
      <c r="A51" s="64">
        <v>6</v>
      </c>
      <c r="B51" s="86" t="s">
        <v>820</v>
      </c>
      <c r="C51" s="91">
        <v>85</v>
      </c>
      <c r="D51" s="178">
        <v>70</v>
      </c>
      <c r="E51" s="87">
        <v>60</v>
      </c>
      <c r="F51" s="64">
        <v>6</v>
      </c>
      <c r="G51" s="86" t="s">
        <v>820</v>
      </c>
      <c r="H51" s="180">
        <f t="shared" si="1"/>
        <v>65.45</v>
      </c>
      <c r="I51" s="180">
        <f t="shared" si="1"/>
        <v>53.9</v>
      </c>
      <c r="J51" s="180">
        <f t="shared" si="1"/>
        <v>46.199999999999996</v>
      </c>
      <c r="K51" s="65" t="s">
        <v>945</v>
      </c>
      <c r="L51" s="57"/>
      <c r="M51" s="57"/>
      <c r="N51" s="57"/>
      <c r="O51" s="57"/>
      <c r="P51" s="65"/>
    </row>
    <row r="52" spans="1:16" ht="33" x14ac:dyDescent="0.25">
      <c r="A52" s="60" t="s">
        <v>325</v>
      </c>
      <c r="B52" s="76" t="s">
        <v>854</v>
      </c>
      <c r="C52" s="64"/>
      <c r="D52" s="178"/>
      <c r="E52" s="87"/>
      <c r="F52" s="60" t="s">
        <v>325</v>
      </c>
      <c r="G52" s="76" t="s">
        <v>854</v>
      </c>
      <c r="H52" s="180"/>
      <c r="I52" s="180"/>
      <c r="J52" s="180"/>
      <c r="K52" s="92"/>
      <c r="L52" s="57"/>
      <c r="M52" s="57"/>
      <c r="N52" s="57"/>
      <c r="O52" s="57"/>
      <c r="P52" s="65"/>
    </row>
    <row r="53" spans="1:16" ht="44.45" customHeight="1" x14ac:dyDescent="0.25">
      <c r="A53" s="64">
        <v>1</v>
      </c>
      <c r="B53" s="86" t="s">
        <v>855</v>
      </c>
      <c r="C53" s="87">
        <v>115</v>
      </c>
      <c r="D53" s="178">
        <v>85</v>
      </c>
      <c r="E53" s="87">
        <v>70</v>
      </c>
      <c r="F53" s="64">
        <v>1</v>
      </c>
      <c r="G53" s="86" t="s">
        <v>855</v>
      </c>
      <c r="H53" s="180">
        <f t="shared" si="1"/>
        <v>88.550000000000011</v>
      </c>
      <c r="I53" s="180">
        <f t="shared" si="1"/>
        <v>65.45</v>
      </c>
      <c r="J53" s="180">
        <f t="shared" si="1"/>
        <v>53.9</v>
      </c>
      <c r="K53" s="65" t="s">
        <v>945</v>
      </c>
      <c r="L53" s="57"/>
      <c r="M53" s="57"/>
      <c r="N53" s="57"/>
      <c r="O53" s="57"/>
      <c r="P53" s="65" t="s">
        <v>946</v>
      </c>
    </row>
    <row r="54" spans="1:16" ht="46.15" customHeight="1" x14ac:dyDescent="0.25">
      <c r="A54" s="64">
        <v>2</v>
      </c>
      <c r="B54" s="86" t="s">
        <v>960</v>
      </c>
      <c r="C54" s="87">
        <v>120</v>
      </c>
      <c r="D54" s="178">
        <v>85</v>
      </c>
      <c r="E54" s="87">
        <v>70</v>
      </c>
      <c r="F54" s="64">
        <v>2</v>
      </c>
      <c r="G54" s="86" t="s">
        <v>856</v>
      </c>
      <c r="H54" s="180">
        <f t="shared" si="1"/>
        <v>92.399999999999991</v>
      </c>
      <c r="I54" s="180">
        <f t="shared" si="1"/>
        <v>65.45</v>
      </c>
      <c r="J54" s="180">
        <f t="shared" si="1"/>
        <v>53.9</v>
      </c>
      <c r="K54" s="86" t="s">
        <v>961</v>
      </c>
      <c r="L54" s="57"/>
      <c r="M54" s="57"/>
      <c r="N54" s="57"/>
      <c r="O54" s="57"/>
      <c r="P54" s="65" t="s">
        <v>946</v>
      </c>
    </row>
    <row r="55" spans="1:16" s="45" customFormat="1" ht="46.15" customHeight="1" x14ac:dyDescent="0.25">
      <c r="A55" s="64">
        <v>3</v>
      </c>
      <c r="B55" s="86" t="s">
        <v>962</v>
      </c>
      <c r="C55" s="87">
        <v>100</v>
      </c>
      <c r="D55" s="178">
        <v>70</v>
      </c>
      <c r="E55" s="87">
        <v>60</v>
      </c>
      <c r="F55" s="64">
        <v>3</v>
      </c>
      <c r="G55" s="86" t="s">
        <v>857</v>
      </c>
      <c r="H55" s="180">
        <f t="shared" si="1"/>
        <v>77</v>
      </c>
      <c r="I55" s="180">
        <f t="shared" si="1"/>
        <v>53.9</v>
      </c>
      <c r="J55" s="180">
        <f t="shared" si="1"/>
        <v>46.199999999999996</v>
      </c>
      <c r="K55" s="86" t="s">
        <v>961</v>
      </c>
      <c r="L55" s="182"/>
      <c r="M55" s="182"/>
      <c r="N55" s="182"/>
      <c r="O55" s="182"/>
      <c r="P55" s="65" t="s">
        <v>946</v>
      </c>
    </row>
    <row r="56" spans="1:16" ht="21.75" customHeight="1" x14ac:dyDescent="0.25">
      <c r="A56" s="64">
        <v>4</v>
      </c>
      <c r="B56" s="86" t="s">
        <v>820</v>
      </c>
      <c r="C56" s="91">
        <v>85</v>
      </c>
      <c r="D56" s="178">
        <v>70</v>
      </c>
      <c r="E56" s="87">
        <v>60</v>
      </c>
      <c r="F56" s="64">
        <v>4</v>
      </c>
      <c r="G56" s="86" t="s">
        <v>820</v>
      </c>
      <c r="H56" s="180">
        <f t="shared" si="1"/>
        <v>65.45</v>
      </c>
      <c r="I56" s="180">
        <f t="shared" si="1"/>
        <v>53.9</v>
      </c>
      <c r="J56" s="180">
        <f t="shared" si="1"/>
        <v>46.199999999999996</v>
      </c>
      <c r="K56" s="65" t="s">
        <v>945</v>
      </c>
      <c r="L56" s="57"/>
      <c r="M56" s="57"/>
      <c r="N56" s="57"/>
      <c r="O56" s="57"/>
      <c r="P56" s="65" t="s">
        <v>946</v>
      </c>
    </row>
    <row r="57" spans="1:16" ht="16.5" x14ac:dyDescent="0.25">
      <c r="A57" s="60" t="s">
        <v>330</v>
      </c>
      <c r="B57" s="76" t="s">
        <v>858</v>
      </c>
      <c r="C57" s="91"/>
      <c r="D57" s="178"/>
      <c r="E57" s="87"/>
      <c r="F57" s="60" t="s">
        <v>330</v>
      </c>
      <c r="G57" s="76" t="s">
        <v>858</v>
      </c>
      <c r="H57" s="180"/>
      <c r="I57" s="180"/>
      <c r="J57" s="180"/>
      <c r="K57" s="92"/>
      <c r="L57" s="57"/>
      <c r="M57" s="57"/>
      <c r="N57" s="57"/>
      <c r="O57" s="57"/>
      <c r="P57" s="65"/>
    </row>
    <row r="58" spans="1:16" ht="42.6" customHeight="1" x14ac:dyDescent="0.25">
      <c r="A58" s="64">
        <v>1</v>
      </c>
      <c r="B58" s="86" t="s">
        <v>963</v>
      </c>
      <c r="C58" s="91">
        <v>85</v>
      </c>
      <c r="D58" s="178">
        <v>70</v>
      </c>
      <c r="E58" s="87">
        <v>60</v>
      </c>
      <c r="F58" s="64">
        <v>1</v>
      </c>
      <c r="G58" s="86" t="s">
        <v>859</v>
      </c>
      <c r="H58" s="180">
        <v>66</v>
      </c>
      <c r="I58" s="180">
        <f t="shared" si="1"/>
        <v>53.9</v>
      </c>
      <c r="J58" s="180">
        <f t="shared" si="1"/>
        <v>46.199999999999996</v>
      </c>
      <c r="K58" s="86" t="s">
        <v>964</v>
      </c>
      <c r="L58" s="57"/>
      <c r="M58" s="77" t="s">
        <v>965</v>
      </c>
      <c r="N58" s="57"/>
      <c r="O58" s="57"/>
      <c r="P58" s="64" t="s">
        <v>966</v>
      </c>
    </row>
    <row r="59" spans="1:16" ht="45.6" customHeight="1" x14ac:dyDescent="0.25">
      <c r="A59" s="64">
        <v>2</v>
      </c>
      <c r="B59" s="86" t="s">
        <v>967</v>
      </c>
      <c r="C59" s="91">
        <v>85</v>
      </c>
      <c r="D59" s="178">
        <v>70</v>
      </c>
      <c r="E59" s="87">
        <v>60</v>
      </c>
      <c r="F59" s="64">
        <v>2</v>
      </c>
      <c r="G59" s="86" t="s">
        <v>860</v>
      </c>
      <c r="H59" s="180">
        <f t="shared" si="1"/>
        <v>65.45</v>
      </c>
      <c r="I59" s="180">
        <f t="shared" si="1"/>
        <v>53.9</v>
      </c>
      <c r="J59" s="180">
        <f t="shared" si="1"/>
        <v>46.199999999999996</v>
      </c>
      <c r="K59" s="86" t="s">
        <v>961</v>
      </c>
      <c r="L59" s="57"/>
      <c r="M59" s="57"/>
      <c r="N59" s="57"/>
      <c r="O59" s="57"/>
      <c r="P59" s="65" t="s">
        <v>946</v>
      </c>
    </row>
    <row r="60" spans="1:16" ht="24.75" customHeight="1" x14ac:dyDescent="0.25">
      <c r="A60" s="64">
        <v>3</v>
      </c>
      <c r="B60" s="86" t="s">
        <v>861</v>
      </c>
      <c r="C60" s="87">
        <v>100</v>
      </c>
      <c r="D60" s="178">
        <v>70</v>
      </c>
      <c r="E60" s="87">
        <v>60</v>
      </c>
      <c r="F60" s="64">
        <v>3</v>
      </c>
      <c r="G60" s="86" t="s">
        <v>861</v>
      </c>
      <c r="H60" s="180">
        <f t="shared" si="1"/>
        <v>77</v>
      </c>
      <c r="I60" s="180">
        <f t="shared" si="1"/>
        <v>53.9</v>
      </c>
      <c r="J60" s="180">
        <f t="shared" si="1"/>
        <v>46.199999999999996</v>
      </c>
      <c r="K60" s="65" t="s">
        <v>945</v>
      </c>
      <c r="L60" s="57"/>
      <c r="M60" s="57"/>
      <c r="N60" s="57"/>
      <c r="O60" s="57"/>
      <c r="P60" s="65" t="s">
        <v>946</v>
      </c>
    </row>
    <row r="61" spans="1:16" ht="44.45" customHeight="1" x14ac:dyDescent="0.25">
      <c r="A61" s="64">
        <v>4</v>
      </c>
      <c r="B61" s="86" t="s">
        <v>968</v>
      </c>
      <c r="C61" s="91">
        <v>85</v>
      </c>
      <c r="D61" s="178">
        <v>70</v>
      </c>
      <c r="E61" s="87">
        <v>60</v>
      </c>
      <c r="F61" s="64">
        <v>4</v>
      </c>
      <c r="G61" s="86" t="s">
        <v>862</v>
      </c>
      <c r="H61" s="180">
        <f t="shared" si="1"/>
        <v>65.45</v>
      </c>
      <c r="I61" s="180">
        <f t="shared" si="1"/>
        <v>53.9</v>
      </c>
      <c r="J61" s="180">
        <f t="shared" si="1"/>
        <v>46.199999999999996</v>
      </c>
      <c r="K61" s="86" t="s">
        <v>969</v>
      </c>
      <c r="L61" s="57"/>
      <c r="M61" s="57"/>
      <c r="N61" s="57"/>
      <c r="O61" s="57"/>
      <c r="P61" s="65" t="s">
        <v>946</v>
      </c>
    </row>
    <row r="62" spans="1:16" ht="35.450000000000003" customHeight="1" x14ac:dyDescent="0.25">
      <c r="A62" s="64">
        <v>5</v>
      </c>
      <c r="B62" s="86" t="s">
        <v>820</v>
      </c>
      <c r="C62" s="91">
        <v>80</v>
      </c>
      <c r="D62" s="178">
        <v>65</v>
      </c>
      <c r="E62" s="87">
        <v>60</v>
      </c>
      <c r="F62" s="64">
        <v>5</v>
      </c>
      <c r="G62" s="86" t="s">
        <v>820</v>
      </c>
      <c r="H62" s="180">
        <f t="shared" si="1"/>
        <v>61.599999999999994</v>
      </c>
      <c r="I62" s="180">
        <f t="shared" si="1"/>
        <v>50.05</v>
      </c>
      <c r="J62" s="180">
        <f t="shared" si="1"/>
        <v>46.199999999999996</v>
      </c>
      <c r="K62" s="65" t="s">
        <v>945</v>
      </c>
      <c r="L62" s="57"/>
      <c r="M62" s="57"/>
      <c r="N62" s="57"/>
      <c r="O62" s="57"/>
      <c r="P62" s="65" t="s">
        <v>946</v>
      </c>
    </row>
    <row r="63" spans="1:16" x14ac:dyDescent="0.25">
      <c r="A63" s="46"/>
      <c r="B63" s="47"/>
      <c r="C63" s="46"/>
      <c r="D63" s="39"/>
      <c r="E63" s="48"/>
      <c r="F63" s="49"/>
      <c r="G63" s="50"/>
    </row>
    <row r="64" spans="1:16" x14ac:dyDescent="0.25">
      <c r="B64" s="261"/>
      <c r="C64" s="261"/>
      <c r="D64" s="261"/>
      <c r="E64" s="261"/>
    </row>
    <row r="65" spans="2:5" s="30" customFormat="1" x14ac:dyDescent="0.25">
      <c r="B65" s="262"/>
      <c r="C65" s="262"/>
      <c r="D65" s="262"/>
      <c r="E65" s="262"/>
    </row>
    <row r="66" spans="2:5" s="30" customFormat="1" x14ac:dyDescent="0.25">
      <c r="B66" s="262"/>
      <c r="C66" s="262"/>
      <c r="D66" s="262"/>
      <c r="E66" s="262"/>
    </row>
    <row r="67" spans="2:5" s="30" customFormat="1" x14ac:dyDescent="0.25">
      <c r="B67" s="262"/>
      <c r="C67" s="262"/>
      <c r="D67" s="262"/>
      <c r="E67" s="262"/>
    </row>
    <row r="68" spans="2:5" s="30" customFormat="1" x14ac:dyDescent="0.25">
      <c r="B68" s="262"/>
      <c r="C68" s="262"/>
      <c r="D68" s="262"/>
      <c r="E68" s="262"/>
    </row>
  </sheetData>
  <mergeCells count="15">
    <mergeCell ref="F1:P1"/>
    <mergeCell ref="A3:A4"/>
    <mergeCell ref="B3:B4"/>
    <mergeCell ref="C3:E3"/>
    <mergeCell ref="F3:F4"/>
    <mergeCell ref="G3:G4"/>
    <mergeCell ref="H3:J3"/>
    <mergeCell ref="K3:K4"/>
    <mergeCell ref="P3:P4"/>
    <mergeCell ref="G2:J2"/>
    <mergeCell ref="B64:E64"/>
    <mergeCell ref="B65:E65"/>
    <mergeCell ref="B66:E66"/>
    <mergeCell ref="B67:E67"/>
    <mergeCell ref="B68:E68"/>
  </mergeCells>
  <printOptions horizontalCentered="1"/>
  <pageMargins left="0.18740157480315001" right="0.19055118110236199" top="0.49055118110236201" bottom="0.19055118110236199" header="0.31496062992126" footer="0.196850393700787"/>
  <pageSetup paperSize="9" firstPageNumber="40" orientation="portrait" useFirstPageNumber="1" r:id="rId1"/>
  <headerFooter>
    <oddHeader>&amp;C&amp;P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topLeftCell="F1" zoomScaleNormal="100" workbookViewId="0">
      <selection activeCell="O9" sqref="O9"/>
    </sheetView>
  </sheetViews>
  <sheetFormatPr defaultRowHeight="15" x14ac:dyDescent="0.25"/>
  <cols>
    <col min="1" max="1" width="5.28515625" style="1" hidden="1" customWidth="1"/>
    <col min="2" max="2" width="46.28515625" style="1" hidden="1" customWidth="1"/>
    <col min="3" max="5" width="7.42578125" style="20" hidden="1" customWidth="1"/>
    <col min="6" max="6" width="5.7109375" style="20" customWidth="1"/>
    <col min="7" max="7" width="61.42578125" style="1" customWidth="1"/>
    <col min="8" max="8" width="11.140625" style="21" hidden="1" customWidth="1"/>
    <col min="9" max="10" width="11.140625" style="20" hidden="1" customWidth="1"/>
    <col min="11" max="11" width="14.42578125" style="21" customWidth="1"/>
    <col min="12" max="12" width="12.7109375" style="20" customWidth="1"/>
    <col min="13" max="13" width="12.28515625" style="20" customWidth="1"/>
    <col min="14" max="253" width="9.140625" style="1"/>
    <col min="254" max="258" width="0" style="1" hidden="1" customWidth="1"/>
    <col min="259" max="259" width="5.7109375" style="1" customWidth="1"/>
    <col min="260" max="260" width="54.7109375" style="1" customWidth="1"/>
    <col min="261" max="269" width="11.140625" style="1" customWidth="1"/>
    <col min="270" max="509" width="9.140625" style="1"/>
    <col min="510" max="514" width="0" style="1" hidden="1" customWidth="1"/>
    <col min="515" max="515" width="5.7109375" style="1" customWidth="1"/>
    <col min="516" max="516" width="54.7109375" style="1" customWidth="1"/>
    <col min="517" max="525" width="11.140625" style="1" customWidth="1"/>
    <col min="526" max="765" width="9.140625" style="1"/>
    <col min="766" max="770" width="0" style="1" hidden="1" customWidth="1"/>
    <col min="771" max="771" width="5.7109375" style="1" customWidth="1"/>
    <col min="772" max="772" width="54.7109375" style="1" customWidth="1"/>
    <col min="773" max="781" width="11.140625" style="1" customWidth="1"/>
    <col min="782" max="1021" width="9.140625" style="1"/>
    <col min="1022" max="1026" width="0" style="1" hidden="1" customWidth="1"/>
    <col min="1027" max="1027" width="5.7109375" style="1" customWidth="1"/>
    <col min="1028" max="1028" width="54.7109375" style="1" customWidth="1"/>
    <col min="1029" max="1037" width="11.140625" style="1" customWidth="1"/>
    <col min="1038" max="1277" width="9.140625" style="1"/>
    <col min="1278" max="1282" width="0" style="1" hidden="1" customWidth="1"/>
    <col min="1283" max="1283" width="5.7109375" style="1" customWidth="1"/>
    <col min="1284" max="1284" width="54.7109375" style="1" customWidth="1"/>
    <col min="1285" max="1293" width="11.140625" style="1" customWidth="1"/>
    <col min="1294" max="1533" width="9.140625" style="1"/>
    <col min="1534" max="1538" width="0" style="1" hidden="1" customWidth="1"/>
    <col min="1539" max="1539" width="5.7109375" style="1" customWidth="1"/>
    <col min="1540" max="1540" width="54.7109375" style="1" customWidth="1"/>
    <col min="1541" max="1549" width="11.140625" style="1" customWidth="1"/>
    <col min="1550" max="1789" width="9.140625" style="1"/>
    <col min="1790" max="1794" width="0" style="1" hidden="1" customWidth="1"/>
    <col min="1795" max="1795" width="5.7109375" style="1" customWidth="1"/>
    <col min="1796" max="1796" width="54.7109375" style="1" customWidth="1"/>
    <col min="1797" max="1805" width="11.140625" style="1" customWidth="1"/>
    <col min="1806" max="2045" width="9.140625" style="1"/>
    <col min="2046" max="2050" width="0" style="1" hidden="1" customWidth="1"/>
    <col min="2051" max="2051" width="5.7109375" style="1" customWidth="1"/>
    <col min="2052" max="2052" width="54.7109375" style="1" customWidth="1"/>
    <col min="2053" max="2061" width="11.140625" style="1" customWidth="1"/>
    <col min="2062" max="2301" width="9.140625" style="1"/>
    <col min="2302" max="2306" width="0" style="1" hidden="1" customWidth="1"/>
    <col min="2307" max="2307" width="5.7109375" style="1" customWidth="1"/>
    <col min="2308" max="2308" width="54.7109375" style="1" customWidth="1"/>
    <col min="2309" max="2317" width="11.140625" style="1" customWidth="1"/>
    <col min="2318" max="2557" width="9.140625" style="1"/>
    <col min="2558" max="2562" width="0" style="1" hidden="1" customWidth="1"/>
    <col min="2563" max="2563" width="5.7109375" style="1" customWidth="1"/>
    <col min="2564" max="2564" width="54.7109375" style="1" customWidth="1"/>
    <col min="2565" max="2573" width="11.140625" style="1" customWidth="1"/>
    <col min="2574" max="2813" width="9.140625" style="1"/>
    <col min="2814" max="2818" width="0" style="1" hidden="1" customWidth="1"/>
    <col min="2819" max="2819" width="5.7109375" style="1" customWidth="1"/>
    <col min="2820" max="2820" width="54.7109375" style="1" customWidth="1"/>
    <col min="2821" max="2829" width="11.140625" style="1" customWidth="1"/>
    <col min="2830" max="3069" width="9.140625" style="1"/>
    <col min="3070" max="3074" width="0" style="1" hidden="1" customWidth="1"/>
    <col min="3075" max="3075" width="5.7109375" style="1" customWidth="1"/>
    <col min="3076" max="3076" width="54.7109375" style="1" customWidth="1"/>
    <col min="3077" max="3085" width="11.140625" style="1" customWidth="1"/>
    <col min="3086" max="3325" width="9.140625" style="1"/>
    <col min="3326" max="3330" width="0" style="1" hidden="1" customWidth="1"/>
    <col min="3331" max="3331" width="5.7109375" style="1" customWidth="1"/>
    <col min="3332" max="3332" width="54.7109375" style="1" customWidth="1"/>
    <col min="3333" max="3341" width="11.140625" style="1" customWidth="1"/>
    <col min="3342" max="3581" width="9.140625" style="1"/>
    <col min="3582" max="3586" width="0" style="1" hidden="1" customWidth="1"/>
    <col min="3587" max="3587" width="5.7109375" style="1" customWidth="1"/>
    <col min="3588" max="3588" width="54.7109375" style="1" customWidth="1"/>
    <col min="3589" max="3597" width="11.140625" style="1" customWidth="1"/>
    <col min="3598" max="3837" width="9.140625" style="1"/>
    <col min="3838" max="3842" width="0" style="1" hidden="1" customWidth="1"/>
    <col min="3843" max="3843" width="5.7109375" style="1" customWidth="1"/>
    <col min="3844" max="3844" width="54.7109375" style="1" customWidth="1"/>
    <col min="3845" max="3853" width="11.140625" style="1" customWidth="1"/>
    <col min="3854" max="4093" width="9.140625" style="1"/>
    <col min="4094" max="4098" width="0" style="1" hidden="1" customWidth="1"/>
    <col min="4099" max="4099" width="5.7109375" style="1" customWidth="1"/>
    <col min="4100" max="4100" width="54.7109375" style="1" customWidth="1"/>
    <col min="4101" max="4109" width="11.140625" style="1" customWidth="1"/>
    <col min="4110" max="4349" width="9.140625" style="1"/>
    <col min="4350" max="4354" width="0" style="1" hidden="1" customWidth="1"/>
    <col min="4355" max="4355" width="5.7109375" style="1" customWidth="1"/>
    <col min="4356" max="4356" width="54.7109375" style="1" customWidth="1"/>
    <col min="4357" max="4365" width="11.140625" style="1" customWidth="1"/>
    <col min="4366" max="4605" width="9.140625" style="1"/>
    <col min="4606" max="4610" width="0" style="1" hidden="1" customWidth="1"/>
    <col min="4611" max="4611" width="5.7109375" style="1" customWidth="1"/>
    <col min="4612" max="4612" width="54.7109375" style="1" customWidth="1"/>
    <col min="4613" max="4621" width="11.140625" style="1" customWidth="1"/>
    <col min="4622" max="4861" width="9.140625" style="1"/>
    <col min="4862" max="4866" width="0" style="1" hidden="1" customWidth="1"/>
    <col min="4867" max="4867" width="5.7109375" style="1" customWidth="1"/>
    <col min="4868" max="4868" width="54.7109375" style="1" customWidth="1"/>
    <col min="4869" max="4877" width="11.140625" style="1" customWidth="1"/>
    <col min="4878" max="5117" width="9.140625" style="1"/>
    <col min="5118" max="5122" width="0" style="1" hidden="1" customWidth="1"/>
    <col min="5123" max="5123" width="5.7109375" style="1" customWidth="1"/>
    <col min="5124" max="5124" width="54.7109375" style="1" customWidth="1"/>
    <col min="5125" max="5133" width="11.140625" style="1" customWidth="1"/>
    <col min="5134" max="5373" width="9.140625" style="1"/>
    <col min="5374" max="5378" width="0" style="1" hidden="1" customWidth="1"/>
    <col min="5379" max="5379" width="5.7109375" style="1" customWidth="1"/>
    <col min="5380" max="5380" width="54.7109375" style="1" customWidth="1"/>
    <col min="5381" max="5389" width="11.140625" style="1" customWidth="1"/>
    <col min="5390" max="5629" width="9.140625" style="1"/>
    <col min="5630" max="5634" width="0" style="1" hidden="1" customWidth="1"/>
    <col min="5635" max="5635" width="5.7109375" style="1" customWidth="1"/>
    <col min="5636" max="5636" width="54.7109375" style="1" customWidth="1"/>
    <col min="5637" max="5645" width="11.140625" style="1" customWidth="1"/>
    <col min="5646" max="5885" width="9.140625" style="1"/>
    <col min="5886" max="5890" width="0" style="1" hidden="1" customWidth="1"/>
    <col min="5891" max="5891" width="5.7109375" style="1" customWidth="1"/>
    <col min="5892" max="5892" width="54.7109375" style="1" customWidth="1"/>
    <col min="5893" max="5901" width="11.140625" style="1" customWidth="1"/>
    <col min="5902" max="6141" width="9.140625" style="1"/>
    <col min="6142" max="6146" width="0" style="1" hidden="1" customWidth="1"/>
    <col min="6147" max="6147" width="5.7109375" style="1" customWidth="1"/>
    <col min="6148" max="6148" width="54.7109375" style="1" customWidth="1"/>
    <col min="6149" max="6157" width="11.140625" style="1" customWidth="1"/>
    <col min="6158" max="6397" width="9.140625" style="1"/>
    <col min="6398" max="6402" width="0" style="1" hidden="1" customWidth="1"/>
    <col min="6403" max="6403" width="5.7109375" style="1" customWidth="1"/>
    <col min="6404" max="6404" width="54.7109375" style="1" customWidth="1"/>
    <col min="6405" max="6413" width="11.140625" style="1" customWidth="1"/>
    <col min="6414" max="6653" width="9.140625" style="1"/>
    <col min="6654" max="6658" width="0" style="1" hidden="1" customWidth="1"/>
    <col min="6659" max="6659" width="5.7109375" style="1" customWidth="1"/>
    <col min="6660" max="6660" width="54.7109375" style="1" customWidth="1"/>
    <col min="6661" max="6669" width="11.140625" style="1" customWidth="1"/>
    <col min="6670" max="6909" width="9.140625" style="1"/>
    <col min="6910" max="6914" width="0" style="1" hidden="1" customWidth="1"/>
    <col min="6915" max="6915" width="5.7109375" style="1" customWidth="1"/>
    <col min="6916" max="6916" width="54.7109375" style="1" customWidth="1"/>
    <col min="6917" max="6925" width="11.140625" style="1" customWidth="1"/>
    <col min="6926" max="7165" width="9.140625" style="1"/>
    <col min="7166" max="7170" width="0" style="1" hidden="1" customWidth="1"/>
    <col min="7171" max="7171" width="5.7109375" style="1" customWidth="1"/>
    <col min="7172" max="7172" width="54.7109375" style="1" customWidth="1"/>
    <col min="7173" max="7181" width="11.140625" style="1" customWidth="1"/>
    <col min="7182" max="7421" width="9.140625" style="1"/>
    <col min="7422" max="7426" width="0" style="1" hidden="1" customWidth="1"/>
    <col min="7427" max="7427" width="5.7109375" style="1" customWidth="1"/>
    <col min="7428" max="7428" width="54.7109375" style="1" customWidth="1"/>
    <col min="7429" max="7437" width="11.140625" style="1" customWidth="1"/>
    <col min="7438" max="7677" width="9.140625" style="1"/>
    <col min="7678" max="7682" width="0" style="1" hidden="1" customWidth="1"/>
    <col min="7683" max="7683" width="5.7109375" style="1" customWidth="1"/>
    <col min="7684" max="7684" width="54.7109375" style="1" customWidth="1"/>
    <col min="7685" max="7693" width="11.140625" style="1" customWidth="1"/>
    <col min="7694" max="7933" width="9.140625" style="1"/>
    <col min="7934" max="7938" width="0" style="1" hidden="1" customWidth="1"/>
    <col min="7939" max="7939" width="5.7109375" style="1" customWidth="1"/>
    <col min="7940" max="7940" width="54.7109375" style="1" customWidth="1"/>
    <col min="7941" max="7949" width="11.140625" style="1" customWidth="1"/>
    <col min="7950" max="8189" width="9.140625" style="1"/>
    <col min="8190" max="8194" width="0" style="1" hidden="1" customWidth="1"/>
    <col min="8195" max="8195" width="5.7109375" style="1" customWidth="1"/>
    <col min="8196" max="8196" width="54.7109375" style="1" customWidth="1"/>
    <col min="8197" max="8205" width="11.140625" style="1" customWidth="1"/>
    <col min="8206" max="8445" width="9.140625" style="1"/>
    <col min="8446" max="8450" width="0" style="1" hidden="1" customWidth="1"/>
    <col min="8451" max="8451" width="5.7109375" style="1" customWidth="1"/>
    <col min="8452" max="8452" width="54.7109375" style="1" customWidth="1"/>
    <col min="8453" max="8461" width="11.140625" style="1" customWidth="1"/>
    <col min="8462" max="8701" width="9.140625" style="1"/>
    <col min="8702" max="8706" width="0" style="1" hidden="1" customWidth="1"/>
    <col min="8707" max="8707" width="5.7109375" style="1" customWidth="1"/>
    <col min="8708" max="8708" width="54.7109375" style="1" customWidth="1"/>
    <col min="8709" max="8717" width="11.140625" style="1" customWidth="1"/>
    <col min="8718" max="8957" width="9.140625" style="1"/>
    <col min="8958" max="8962" width="0" style="1" hidden="1" customWidth="1"/>
    <col min="8963" max="8963" width="5.7109375" style="1" customWidth="1"/>
    <col min="8964" max="8964" width="54.7109375" style="1" customWidth="1"/>
    <col min="8965" max="8973" width="11.140625" style="1" customWidth="1"/>
    <col min="8974" max="9213" width="9.140625" style="1"/>
    <col min="9214" max="9218" width="0" style="1" hidden="1" customWidth="1"/>
    <col min="9219" max="9219" width="5.7109375" style="1" customWidth="1"/>
    <col min="9220" max="9220" width="54.7109375" style="1" customWidth="1"/>
    <col min="9221" max="9229" width="11.140625" style="1" customWidth="1"/>
    <col min="9230" max="9469" width="9.140625" style="1"/>
    <col min="9470" max="9474" width="0" style="1" hidden="1" customWidth="1"/>
    <col min="9475" max="9475" width="5.7109375" style="1" customWidth="1"/>
    <col min="9476" max="9476" width="54.7109375" style="1" customWidth="1"/>
    <col min="9477" max="9485" width="11.140625" style="1" customWidth="1"/>
    <col min="9486" max="9725" width="9.140625" style="1"/>
    <col min="9726" max="9730" width="0" style="1" hidden="1" customWidth="1"/>
    <col min="9731" max="9731" width="5.7109375" style="1" customWidth="1"/>
    <col min="9732" max="9732" width="54.7109375" style="1" customWidth="1"/>
    <col min="9733" max="9741" width="11.140625" style="1" customWidth="1"/>
    <col min="9742" max="9981" width="9.140625" style="1"/>
    <col min="9982" max="9986" width="0" style="1" hidden="1" customWidth="1"/>
    <col min="9987" max="9987" width="5.7109375" style="1" customWidth="1"/>
    <col min="9988" max="9988" width="54.7109375" style="1" customWidth="1"/>
    <col min="9989" max="9997" width="11.140625" style="1" customWidth="1"/>
    <col min="9998" max="10237" width="9.140625" style="1"/>
    <col min="10238" max="10242" width="0" style="1" hidden="1" customWidth="1"/>
    <col min="10243" max="10243" width="5.7109375" style="1" customWidth="1"/>
    <col min="10244" max="10244" width="54.7109375" style="1" customWidth="1"/>
    <col min="10245" max="10253" width="11.140625" style="1" customWidth="1"/>
    <col min="10254" max="10493" width="9.140625" style="1"/>
    <col min="10494" max="10498" width="0" style="1" hidden="1" customWidth="1"/>
    <col min="10499" max="10499" width="5.7109375" style="1" customWidth="1"/>
    <col min="10500" max="10500" width="54.7109375" style="1" customWidth="1"/>
    <col min="10501" max="10509" width="11.140625" style="1" customWidth="1"/>
    <col min="10510" max="10749" width="9.140625" style="1"/>
    <col min="10750" max="10754" width="0" style="1" hidden="1" customWidth="1"/>
    <col min="10755" max="10755" width="5.7109375" style="1" customWidth="1"/>
    <col min="10756" max="10756" width="54.7109375" style="1" customWidth="1"/>
    <col min="10757" max="10765" width="11.140625" style="1" customWidth="1"/>
    <col min="10766" max="11005" width="9.140625" style="1"/>
    <col min="11006" max="11010" width="0" style="1" hidden="1" customWidth="1"/>
    <col min="11011" max="11011" width="5.7109375" style="1" customWidth="1"/>
    <col min="11012" max="11012" width="54.7109375" style="1" customWidth="1"/>
    <col min="11013" max="11021" width="11.140625" style="1" customWidth="1"/>
    <col min="11022" max="11261" width="9.140625" style="1"/>
    <col min="11262" max="11266" width="0" style="1" hidden="1" customWidth="1"/>
    <col min="11267" max="11267" width="5.7109375" style="1" customWidth="1"/>
    <col min="11268" max="11268" width="54.7109375" style="1" customWidth="1"/>
    <col min="11269" max="11277" width="11.140625" style="1" customWidth="1"/>
    <col min="11278" max="11517" width="9.140625" style="1"/>
    <col min="11518" max="11522" width="0" style="1" hidden="1" customWidth="1"/>
    <col min="11523" max="11523" width="5.7109375" style="1" customWidth="1"/>
    <col min="11524" max="11524" width="54.7109375" style="1" customWidth="1"/>
    <col min="11525" max="11533" width="11.140625" style="1" customWidth="1"/>
    <col min="11534" max="11773" width="9.140625" style="1"/>
    <col min="11774" max="11778" width="0" style="1" hidden="1" customWidth="1"/>
    <col min="11779" max="11779" width="5.7109375" style="1" customWidth="1"/>
    <col min="11780" max="11780" width="54.7109375" style="1" customWidth="1"/>
    <col min="11781" max="11789" width="11.140625" style="1" customWidth="1"/>
    <col min="11790" max="12029" width="9.140625" style="1"/>
    <col min="12030" max="12034" width="0" style="1" hidden="1" customWidth="1"/>
    <col min="12035" max="12035" width="5.7109375" style="1" customWidth="1"/>
    <col min="12036" max="12036" width="54.7109375" style="1" customWidth="1"/>
    <col min="12037" max="12045" width="11.140625" style="1" customWidth="1"/>
    <col min="12046" max="12285" width="9.140625" style="1"/>
    <col min="12286" max="12290" width="0" style="1" hidden="1" customWidth="1"/>
    <col min="12291" max="12291" width="5.7109375" style="1" customWidth="1"/>
    <col min="12292" max="12292" width="54.7109375" style="1" customWidth="1"/>
    <col min="12293" max="12301" width="11.140625" style="1" customWidth="1"/>
    <col min="12302" max="12541" width="9.140625" style="1"/>
    <col min="12542" max="12546" width="0" style="1" hidden="1" customWidth="1"/>
    <col min="12547" max="12547" width="5.7109375" style="1" customWidth="1"/>
    <col min="12548" max="12548" width="54.7109375" style="1" customWidth="1"/>
    <col min="12549" max="12557" width="11.140625" style="1" customWidth="1"/>
    <col min="12558" max="12797" width="9.140625" style="1"/>
    <col min="12798" max="12802" width="0" style="1" hidden="1" customWidth="1"/>
    <col min="12803" max="12803" width="5.7109375" style="1" customWidth="1"/>
    <col min="12804" max="12804" width="54.7109375" style="1" customWidth="1"/>
    <col min="12805" max="12813" width="11.140625" style="1" customWidth="1"/>
    <col min="12814" max="13053" width="9.140625" style="1"/>
    <col min="13054" max="13058" width="0" style="1" hidden="1" customWidth="1"/>
    <col min="13059" max="13059" width="5.7109375" style="1" customWidth="1"/>
    <col min="13060" max="13060" width="54.7109375" style="1" customWidth="1"/>
    <col min="13061" max="13069" width="11.140625" style="1" customWidth="1"/>
    <col min="13070" max="13309" width="9.140625" style="1"/>
    <col min="13310" max="13314" width="0" style="1" hidden="1" customWidth="1"/>
    <col min="13315" max="13315" width="5.7109375" style="1" customWidth="1"/>
    <col min="13316" max="13316" width="54.7109375" style="1" customWidth="1"/>
    <col min="13317" max="13325" width="11.140625" style="1" customWidth="1"/>
    <col min="13326" max="13565" width="9.140625" style="1"/>
    <col min="13566" max="13570" width="0" style="1" hidden="1" customWidth="1"/>
    <col min="13571" max="13571" width="5.7109375" style="1" customWidth="1"/>
    <col min="13572" max="13572" width="54.7109375" style="1" customWidth="1"/>
    <col min="13573" max="13581" width="11.140625" style="1" customWidth="1"/>
    <col min="13582" max="13821" width="9.140625" style="1"/>
    <col min="13822" max="13826" width="0" style="1" hidden="1" customWidth="1"/>
    <col min="13827" max="13827" width="5.7109375" style="1" customWidth="1"/>
    <col min="13828" max="13828" width="54.7109375" style="1" customWidth="1"/>
    <col min="13829" max="13837" width="11.140625" style="1" customWidth="1"/>
    <col min="13838" max="14077" width="9.140625" style="1"/>
    <col min="14078" max="14082" width="0" style="1" hidden="1" customWidth="1"/>
    <col min="14083" max="14083" width="5.7109375" style="1" customWidth="1"/>
    <col min="14084" max="14084" width="54.7109375" style="1" customWidth="1"/>
    <col min="14085" max="14093" width="11.140625" style="1" customWidth="1"/>
    <col min="14094" max="14333" width="9.140625" style="1"/>
    <col min="14334" max="14338" width="0" style="1" hidden="1" customWidth="1"/>
    <col min="14339" max="14339" width="5.7109375" style="1" customWidth="1"/>
    <col min="14340" max="14340" width="54.7109375" style="1" customWidth="1"/>
    <col min="14341" max="14349" width="11.140625" style="1" customWidth="1"/>
    <col min="14350" max="14589" width="9.140625" style="1"/>
    <col min="14590" max="14594" width="0" style="1" hidden="1" customWidth="1"/>
    <col min="14595" max="14595" width="5.7109375" style="1" customWidth="1"/>
    <col min="14596" max="14596" width="54.7109375" style="1" customWidth="1"/>
    <col min="14597" max="14605" width="11.140625" style="1" customWidth="1"/>
    <col min="14606" max="14845" width="9.140625" style="1"/>
    <col min="14846" max="14850" width="0" style="1" hidden="1" customWidth="1"/>
    <col min="14851" max="14851" width="5.7109375" style="1" customWidth="1"/>
    <col min="14852" max="14852" width="54.7109375" style="1" customWidth="1"/>
    <col min="14853" max="14861" width="11.140625" style="1" customWidth="1"/>
    <col min="14862" max="15101" width="9.140625" style="1"/>
    <col min="15102" max="15106" width="0" style="1" hidden="1" customWidth="1"/>
    <col min="15107" max="15107" width="5.7109375" style="1" customWidth="1"/>
    <col min="15108" max="15108" width="54.7109375" style="1" customWidth="1"/>
    <col min="15109" max="15117" width="11.140625" style="1" customWidth="1"/>
    <col min="15118" max="15357" width="9.140625" style="1"/>
    <col min="15358" max="15362" width="0" style="1" hidden="1" customWidth="1"/>
    <col min="15363" max="15363" width="5.7109375" style="1" customWidth="1"/>
    <col min="15364" max="15364" width="54.7109375" style="1" customWidth="1"/>
    <col min="15365" max="15373" width="11.140625" style="1" customWidth="1"/>
    <col min="15374" max="15613" width="9.140625" style="1"/>
    <col min="15614" max="15618" width="0" style="1" hidden="1" customWidth="1"/>
    <col min="15619" max="15619" width="5.7109375" style="1" customWidth="1"/>
    <col min="15620" max="15620" width="54.7109375" style="1" customWidth="1"/>
    <col min="15621" max="15629" width="11.140625" style="1" customWidth="1"/>
    <col min="15630" max="15869" width="9.140625" style="1"/>
    <col min="15870" max="15874" width="0" style="1" hidden="1" customWidth="1"/>
    <col min="15875" max="15875" width="5.7109375" style="1" customWidth="1"/>
    <col min="15876" max="15876" width="54.7109375" style="1" customWidth="1"/>
    <col min="15877" max="15885" width="11.140625" style="1" customWidth="1"/>
    <col min="15886" max="16125" width="9.140625" style="1"/>
    <col min="16126" max="16130" width="0" style="1" hidden="1" customWidth="1"/>
    <col min="16131" max="16131" width="5.7109375" style="1" customWidth="1"/>
    <col min="16132" max="16132" width="54.7109375" style="1" customWidth="1"/>
    <col min="16133" max="16141" width="11.140625" style="1" customWidth="1"/>
    <col min="16142" max="16384" width="9.140625" style="1"/>
  </cols>
  <sheetData>
    <row r="1" spans="1:13" ht="33.75" customHeight="1" x14ac:dyDescent="0.25">
      <c r="A1" s="57"/>
      <c r="B1" s="57"/>
      <c r="C1" s="78"/>
      <c r="D1" s="78"/>
      <c r="E1" s="78"/>
      <c r="F1" s="267" t="s">
        <v>1143</v>
      </c>
      <c r="G1" s="267"/>
      <c r="H1" s="267"/>
      <c r="I1" s="267"/>
      <c r="J1" s="267"/>
      <c r="K1" s="267"/>
      <c r="L1" s="267"/>
      <c r="M1" s="267"/>
    </row>
    <row r="2" spans="1:13" ht="21" customHeight="1" x14ac:dyDescent="0.25">
      <c r="A2" s="187"/>
      <c r="B2" s="187"/>
      <c r="C2" s="187"/>
      <c r="D2" s="187"/>
      <c r="E2" s="187"/>
      <c r="F2" s="268" t="s">
        <v>763</v>
      </c>
      <c r="G2" s="268"/>
      <c r="H2" s="268"/>
      <c r="I2" s="268"/>
      <c r="J2" s="268"/>
      <c r="K2" s="268"/>
      <c r="L2" s="268"/>
      <c r="M2" s="268"/>
    </row>
    <row r="3" spans="1:13" ht="33" x14ac:dyDescent="0.25">
      <c r="A3" s="188"/>
      <c r="B3" s="84"/>
      <c r="C3" s="60" t="s">
        <v>4</v>
      </c>
      <c r="D3" s="60" t="s">
        <v>3</v>
      </c>
      <c r="E3" s="83" t="s">
        <v>5</v>
      </c>
      <c r="F3" s="216" t="s">
        <v>0</v>
      </c>
      <c r="G3" s="216" t="s">
        <v>1</v>
      </c>
      <c r="H3" s="216" t="s">
        <v>2</v>
      </c>
      <c r="I3" s="216"/>
      <c r="J3" s="216"/>
      <c r="K3" s="216" t="s">
        <v>942</v>
      </c>
      <c r="L3" s="216"/>
      <c r="M3" s="216"/>
    </row>
    <row r="4" spans="1:13" ht="33" x14ac:dyDescent="0.25">
      <c r="A4" s="189" t="s">
        <v>7</v>
      </c>
      <c r="B4" s="76" t="s">
        <v>630</v>
      </c>
      <c r="C4" s="60"/>
      <c r="D4" s="60"/>
      <c r="E4" s="83"/>
      <c r="F4" s="216"/>
      <c r="G4" s="216"/>
      <c r="H4" s="60" t="s">
        <v>4</v>
      </c>
      <c r="I4" s="60" t="s">
        <v>3</v>
      </c>
      <c r="J4" s="60" t="s">
        <v>5</v>
      </c>
      <c r="K4" s="60" t="s">
        <v>4</v>
      </c>
      <c r="L4" s="60" t="s">
        <v>3</v>
      </c>
      <c r="M4" s="60" t="s">
        <v>5</v>
      </c>
    </row>
    <row r="5" spans="1:13" ht="26.25" customHeight="1" x14ac:dyDescent="0.25">
      <c r="A5" s="190">
        <v>1</v>
      </c>
      <c r="B5" s="86" t="s">
        <v>631</v>
      </c>
      <c r="C5" s="64">
        <v>450</v>
      </c>
      <c r="D5" s="64">
        <v>270</v>
      </c>
      <c r="E5" s="191">
        <v>135</v>
      </c>
      <c r="F5" s="60" t="s">
        <v>7</v>
      </c>
      <c r="G5" s="76" t="s">
        <v>630</v>
      </c>
      <c r="H5" s="60"/>
      <c r="I5" s="60"/>
      <c r="J5" s="60"/>
      <c r="K5" s="60"/>
      <c r="L5" s="60"/>
      <c r="M5" s="60"/>
    </row>
    <row r="6" spans="1:13" ht="49.5" x14ac:dyDescent="0.25">
      <c r="A6" s="190">
        <v>2</v>
      </c>
      <c r="B6" s="86" t="s">
        <v>632</v>
      </c>
      <c r="C6" s="64">
        <v>300</v>
      </c>
      <c r="D6" s="64">
        <v>150</v>
      </c>
      <c r="E6" s="191">
        <v>100</v>
      </c>
      <c r="F6" s="64">
        <v>1</v>
      </c>
      <c r="G6" s="86" t="s">
        <v>631</v>
      </c>
      <c r="H6" s="73">
        <f t="shared" ref="H6:J7" si="0">C5*1.1</f>
        <v>495.00000000000006</v>
      </c>
      <c r="I6" s="73">
        <f t="shared" si="0"/>
        <v>297</v>
      </c>
      <c r="J6" s="73">
        <f t="shared" si="0"/>
        <v>148.5</v>
      </c>
      <c r="K6" s="73">
        <f>H6*70%</f>
        <v>346.5</v>
      </c>
      <c r="L6" s="73">
        <f>I6*70%</f>
        <v>207.89999999999998</v>
      </c>
      <c r="M6" s="73">
        <f>J6*70%</f>
        <v>103.94999999999999</v>
      </c>
    </row>
    <row r="7" spans="1:13" ht="33" x14ac:dyDescent="0.25">
      <c r="A7" s="190"/>
      <c r="B7" s="86"/>
      <c r="C7" s="64"/>
      <c r="D7" s="64"/>
      <c r="E7" s="191"/>
      <c r="F7" s="64">
        <v>2</v>
      </c>
      <c r="G7" s="86" t="s">
        <v>632</v>
      </c>
      <c r="H7" s="73">
        <f t="shared" si="0"/>
        <v>330</v>
      </c>
      <c r="I7" s="73">
        <f t="shared" si="0"/>
        <v>165</v>
      </c>
      <c r="J7" s="73">
        <f t="shared" si="0"/>
        <v>110.00000000000001</v>
      </c>
      <c r="K7" s="73">
        <f t="shared" ref="K7:M70" si="1">H7*70%</f>
        <v>230.99999999999997</v>
      </c>
      <c r="L7" s="73">
        <f t="shared" si="1"/>
        <v>115.49999999999999</v>
      </c>
      <c r="M7" s="73">
        <f t="shared" si="1"/>
        <v>77</v>
      </c>
    </row>
    <row r="8" spans="1:13" ht="16.5" x14ac:dyDescent="0.25">
      <c r="A8" s="190"/>
      <c r="B8" s="86"/>
      <c r="C8" s="64"/>
      <c r="D8" s="64"/>
      <c r="E8" s="191"/>
      <c r="F8" s="64" t="s">
        <v>863</v>
      </c>
      <c r="G8" s="86" t="s">
        <v>633</v>
      </c>
      <c r="H8" s="73">
        <v>2330</v>
      </c>
      <c r="I8" s="73"/>
      <c r="J8" s="73"/>
      <c r="K8" s="73">
        <f t="shared" si="1"/>
        <v>1631</v>
      </c>
      <c r="L8" s="73"/>
      <c r="M8" s="73"/>
    </row>
    <row r="9" spans="1:13" ht="16.5" x14ac:dyDescent="0.25">
      <c r="A9" s="190"/>
      <c r="B9" s="86"/>
      <c r="C9" s="64"/>
      <c r="D9" s="64"/>
      <c r="E9" s="191"/>
      <c r="F9" s="64" t="s">
        <v>864</v>
      </c>
      <c r="G9" s="86" t="s">
        <v>634</v>
      </c>
      <c r="H9" s="73">
        <v>2110</v>
      </c>
      <c r="I9" s="73"/>
      <c r="J9" s="73"/>
      <c r="K9" s="73">
        <f t="shared" si="1"/>
        <v>1477</v>
      </c>
      <c r="L9" s="73"/>
      <c r="M9" s="73"/>
    </row>
    <row r="10" spans="1:13" ht="16.5" x14ac:dyDescent="0.25">
      <c r="A10" s="190"/>
      <c r="B10" s="86"/>
      <c r="C10" s="64"/>
      <c r="D10" s="64"/>
      <c r="E10" s="191"/>
      <c r="F10" s="64" t="s">
        <v>865</v>
      </c>
      <c r="G10" s="86" t="s">
        <v>635</v>
      </c>
      <c r="H10" s="73">
        <v>1800</v>
      </c>
      <c r="I10" s="73"/>
      <c r="J10" s="73"/>
      <c r="K10" s="73">
        <f t="shared" si="1"/>
        <v>1260</v>
      </c>
      <c r="L10" s="73"/>
      <c r="M10" s="73"/>
    </row>
    <row r="11" spans="1:13" ht="16.5" x14ac:dyDescent="0.25">
      <c r="A11" s="190"/>
      <c r="B11" s="86"/>
      <c r="C11" s="64"/>
      <c r="D11" s="64"/>
      <c r="E11" s="191"/>
      <c r="F11" s="64" t="s">
        <v>866</v>
      </c>
      <c r="G11" s="86" t="s">
        <v>636</v>
      </c>
      <c r="H11" s="73">
        <v>1611</v>
      </c>
      <c r="I11" s="73"/>
      <c r="J11" s="73"/>
      <c r="K11" s="73">
        <f t="shared" si="1"/>
        <v>1127.6999999999998</v>
      </c>
      <c r="L11" s="73"/>
      <c r="M11" s="73"/>
    </row>
    <row r="12" spans="1:13" ht="16.5" x14ac:dyDescent="0.25">
      <c r="A12" s="190"/>
      <c r="B12" s="86"/>
      <c r="C12" s="64"/>
      <c r="D12" s="64"/>
      <c r="E12" s="191"/>
      <c r="F12" s="64" t="s">
        <v>867</v>
      </c>
      <c r="G12" s="86" t="s">
        <v>637</v>
      </c>
      <c r="H12" s="73">
        <v>1460</v>
      </c>
      <c r="I12" s="73"/>
      <c r="J12" s="73"/>
      <c r="K12" s="73">
        <f t="shared" si="1"/>
        <v>1021.9999999999999</v>
      </c>
      <c r="L12" s="73"/>
      <c r="M12" s="73"/>
    </row>
    <row r="13" spans="1:13" ht="16.5" hidden="1" x14ac:dyDescent="0.25">
      <c r="A13" s="190">
        <v>3</v>
      </c>
      <c r="B13" s="86" t="s">
        <v>639</v>
      </c>
      <c r="C13" s="64">
        <v>250</v>
      </c>
      <c r="D13" s="64">
        <v>150</v>
      </c>
      <c r="E13" s="191">
        <v>100</v>
      </c>
      <c r="F13" s="64" t="s">
        <v>868</v>
      </c>
      <c r="G13" s="86" t="s">
        <v>638</v>
      </c>
      <c r="H13" s="73">
        <v>389</v>
      </c>
      <c r="I13" s="73"/>
      <c r="J13" s="73"/>
      <c r="K13" s="73"/>
      <c r="L13" s="73"/>
      <c r="M13" s="73"/>
    </row>
    <row r="14" spans="1:13" s="2" customFormat="1" ht="16.5" x14ac:dyDescent="0.25">
      <c r="A14" s="189" t="s">
        <v>17</v>
      </c>
      <c r="B14" s="76" t="s">
        <v>640</v>
      </c>
      <c r="C14" s="64"/>
      <c r="D14" s="64"/>
      <c r="E14" s="191"/>
      <c r="F14" s="64">
        <v>3</v>
      </c>
      <c r="G14" s="86" t="s">
        <v>639</v>
      </c>
      <c r="H14" s="73">
        <f>C13*1.1</f>
        <v>275</v>
      </c>
      <c r="I14" s="73">
        <f>D13*1.1</f>
        <v>165</v>
      </c>
      <c r="J14" s="73">
        <f>E13*1.1</f>
        <v>110.00000000000001</v>
      </c>
      <c r="K14" s="73">
        <f t="shared" si="1"/>
        <v>192.5</v>
      </c>
      <c r="L14" s="73">
        <f t="shared" si="1"/>
        <v>115.49999999999999</v>
      </c>
      <c r="M14" s="73">
        <f t="shared" si="1"/>
        <v>77</v>
      </c>
    </row>
    <row r="15" spans="1:13" ht="30" customHeight="1" x14ac:dyDescent="0.25">
      <c r="A15" s="190">
        <v>1</v>
      </c>
      <c r="B15" s="86" t="s">
        <v>641</v>
      </c>
      <c r="C15" s="64">
        <v>120</v>
      </c>
      <c r="D15" s="64">
        <v>85</v>
      </c>
      <c r="E15" s="191">
        <v>70</v>
      </c>
      <c r="F15" s="60" t="s">
        <v>17</v>
      </c>
      <c r="G15" s="76" t="s">
        <v>640</v>
      </c>
      <c r="H15" s="73"/>
      <c r="I15" s="73"/>
      <c r="J15" s="73"/>
      <c r="K15" s="73"/>
      <c r="L15" s="73"/>
      <c r="M15" s="73"/>
    </row>
    <row r="16" spans="1:13" ht="49.5" x14ac:dyDescent="0.25">
      <c r="A16" s="190">
        <v>2</v>
      </c>
      <c r="B16" s="86" t="s">
        <v>642</v>
      </c>
      <c r="C16" s="64">
        <v>450</v>
      </c>
      <c r="D16" s="64">
        <v>270</v>
      </c>
      <c r="E16" s="191">
        <v>135</v>
      </c>
      <c r="F16" s="64">
        <v>1</v>
      </c>
      <c r="G16" s="86" t="s">
        <v>641</v>
      </c>
      <c r="H16" s="73">
        <f t="shared" ref="H16:J19" si="2">C15*1.1</f>
        <v>132</v>
      </c>
      <c r="I16" s="73">
        <f t="shared" si="2"/>
        <v>93.500000000000014</v>
      </c>
      <c r="J16" s="73">
        <f t="shared" si="2"/>
        <v>77</v>
      </c>
      <c r="K16" s="73">
        <f t="shared" si="1"/>
        <v>92.399999999999991</v>
      </c>
      <c r="L16" s="73">
        <f t="shared" si="1"/>
        <v>65.45</v>
      </c>
      <c r="M16" s="73">
        <f t="shared" si="1"/>
        <v>53.9</v>
      </c>
    </row>
    <row r="17" spans="1:13" ht="33" x14ac:dyDescent="0.25">
      <c r="A17" s="190">
        <v>3</v>
      </c>
      <c r="B17" s="86" t="s">
        <v>643</v>
      </c>
      <c r="C17" s="64">
        <v>450</v>
      </c>
      <c r="D17" s="64">
        <v>270</v>
      </c>
      <c r="E17" s="191">
        <v>135</v>
      </c>
      <c r="F17" s="64">
        <v>2</v>
      </c>
      <c r="G17" s="86" t="s">
        <v>642</v>
      </c>
      <c r="H17" s="73">
        <f t="shared" si="2"/>
        <v>495.00000000000006</v>
      </c>
      <c r="I17" s="73">
        <f t="shared" si="2"/>
        <v>297</v>
      </c>
      <c r="J17" s="73">
        <f t="shared" si="2"/>
        <v>148.5</v>
      </c>
      <c r="K17" s="73">
        <f t="shared" si="1"/>
        <v>346.5</v>
      </c>
      <c r="L17" s="73">
        <f t="shared" si="1"/>
        <v>207.89999999999998</v>
      </c>
      <c r="M17" s="73">
        <f t="shared" si="1"/>
        <v>103.94999999999999</v>
      </c>
    </row>
    <row r="18" spans="1:13" ht="49.5" x14ac:dyDescent="0.25">
      <c r="A18" s="190">
        <v>4</v>
      </c>
      <c r="B18" s="86" t="s">
        <v>644</v>
      </c>
      <c r="C18" s="64">
        <v>450</v>
      </c>
      <c r="D18" s="64">
        <v>270</v>
      </c>
      <c r="E18" s="191">
        <v>135</v>
      </c>
      <c r="F18" s="64">
        <v>3</v>
      </c>
      <c r="G18" s="86" t="s">
        <v>643</v>
      </c>
      <c r="H18" s="73">
        <f t="shared" si="2"/>
        <v>495.00000000000006</v>
      </c>
      <c r="I18" s="73">
        <f t="shared" si="2"/>
        <v>297</v>
      </c>
      <c r="J18" s="73">
        <f t="shared" si="2"/>
        <v>148.5</v>
      </c>
      <c r="K18" s="73">
        <f t="shared" si="1"/>
        <v>346.5</v>
      </c>
      <c r="L18" s="73">
        <f t="shared" si="1"/>
        <v>207.89999999999998</v>
      </c>
      <c r="M18" s="73">
        <f t="shared" si="1"/>
        <v>103.94999999999999</v>
      </c>
    </row>
    <row r="19" spans="1:13" s="2" customFormat="1" ht="49.5" x14ac:dyDescent="0.25">
      <c r="A19" s="190">
        <v>5</v>
      </c>
      <c r="B19" s="86" t="s">
        <v>645</v>
      </c>
      <c r="C19" s="64">
        <v>700</v>
      </c>
      <c r="D19" s="64">
        <v>480</v>
      </c>
      <c r="E19" s="191">
        <v>350</v>
      </c>
      <c r="F19" s="64">
        <v>4</v>
      </c>
      <c r="G19" s="86" t="s">
        <v>644</v>
      </c>
      <c r="H19" s="73">
        <f t="shared" si="2"/>
        <v>495.00000000000006</v>
      </c>
      <c r="I19" s="73">
        <f t="shared" si="2"/>
        <v>297</v>
      </c>
      <c r="J19" s="73">
        <f t="shared" si="2"/>
        <v>148.5</v>
      </c>
      <c r="K19" s="73">
        <f t="shared" si="1"/>
        <v>346.5</v>
      </c>
      <c r="L19" s="73">
        <f t="shared" si="1"/>
        <v>207.89999999999998</v>
      </c>
      <c r="M19" s="73">
        <f t="shared" si="1"/>
        <v>103.94999999999999</v>
      </c>
    </row>
    <row r="20" spans="1:13" s="2" customFormat="1" ht="49.5" x14ac:dyDescent="0.25">
      <c r="A20" s="190">
        <v>6</v>
      </c>
      <c r="B20" s="86" t="s">
        <v>646</v>
      </c>
      <c r="C20" s="64">
        <v>250</v>
      </c>
      <c r="D20" s="64">
        <v>150</v>
      </c>
      <c r="E20" s="191">
        <v>100</v>
      </c>
      <c r="F20" s="64">
        <v>5</v>
      </c>
      <c r="G20" s="86" t="s">
        <v>645</v>
      </c>
      <c r="H20" s="73">
        <v>869</v>
      </c>
      <c r="I20" s="73">
        <v>595.88571428571424</v>
      </c>
      <c r="J20" s="73">
        <v>434.5</v>
      </c>
      <c r="K20" s="73">
        <f t="shared" si="1"/>
        <v>608.29999999999995</v>
      </c>
      <c r="L20" s="73">
        <f t="shared" si="1"/>
        <v>417.11999999999995</v>
      </c>
      <c r="M20" s="73">
        <f t="shared" si="1"/>
        <v>304.14999999999998</v>
      </c>
    </row>
    <row r="21" spans="1:13" s="2" customFormat="1" ht="33" x14ac:dyDescent="0.25">
      <c r="A21" s="190">
        <v>7</v>
      </c>
      <c r="B21" s="86" t="s">
        <v>647</v>
      </c>
      <c r="C21" s="64">
        <v>300</v>
      </c>
      <c r="D21" s="64">
        <v>150</v>
      </c>
      <c r="E21" s="191">
        <v>100</v>
      </c>
      <c r="F21" s="64">
        <v>6</v>
      </c>
      <c r="G21" s="86" t="s">
        <v>646</v>
      </c>
      <c r="H21" s="73">
        <f t="shared" ref="H21:J23" si="3">C20*1.1</f>
        <v>275</v>
      </c>
      <c r="I21" s="73">
        <f t="shared" si="3"/>
        <v>165</v>
      </c>
      <c r="J21" s="73">
        <f t="shared" si="3"/>
        <v>110.00000000000001</v>
      </c>
      <c r="K21" s="73">
        <f t="shared" si="1"/>
        <v>192.5</v>
      </c>
      <c r="L21" s="73">
        <f t="shared" si="1"/>
        <v>115.49999999999999</v>
      </c>
      <c r="M21" s="73">
        <f t="shared" si="1"/>
        <v>77</v>
      </c>
    </row>
    <row r="22" spans="1:13" s="2" customFormat="1" ht="16.5" x14ac:dyDescent="0.25">
      <c r="A22" s="190">
        <v>8</v>
      </c>
      <c r="B22" s="86" t="s">
        <v>648</v>
      </c>
      <c r="C22" s="64">
        <v>120</v>
      </c>
      <c r="D22" s="64">
        <v>85</v>
      </c>
      <c r="E22" s="191">
        <v>70</v>
      </c>
      <c r="F22" s="64">
        <v>7</v>
      </c>
      <c r="G22" s="86" t="s">
        <v>647</v>
      </c>
      <c r="H22" s="73">
        <f t="shared" si="3"/>
        <v>330</v>
      </c>
      <c r="I22" s="73">
        <f t="shared" si="3"/>
        <v>165</v>
      </c>
      <c r="J22" s="73">
        <f t="shared" si="3"/>
        <v>110.00000000000001</v>
      </c>
      <c r="K22" s="73">
        <f t="shared" si="1"/>
        <v>230.99999999999997</v>
      </c>
      <c r="L22" s="73">
        <f t="shared" si="1"/>
        <v>115.49999999999999</v>
      </c>
      <c r="M22" s="73">
        <f t="shared" si="1"/>
        <v>77</v>
      </c>
    </row>
    <row r="23" spans="1:13" ht="16.5" x14ac:dyDescent="0.25">
      <c r="A23" s="189" t="s">
        <v>28</v>
      </c>
      <c r="B23" s="76" t="s">
        <v>649</v>
      </c>
      <c r="C23" s="64"/>
      <c r="D23" s="64"/>
      <c r="E23" s="191"/>
      <c r="F23" s="64">
        <v>8</v>
      </c>
      <c r="G23" s="86" t="s">
        <v>648</v>
      </c>
      <c r="H23" s="73">
        <f t="shared" si="3"/>
        <v>132</v>
      </c>
      <c r="I23" s="73">
        <f t="shared" si="3"/>
        <v>93.500000000000014</v>
      </c>
      <c r="J23" s="73">
        <f t="shared" si="3"/>
        <v>77</v>
      </c>
      <c r="K23" s="73">
        <f t="shared" si="1"/>
        <v>92.399999999999991</v>
      </c>
      <c r="L23" s="73">
        <f t="shared" si="1"/>
        <v>65.45</v>
      </c>
      <c r="M23" s="73">
        <f t="shared" si="1"/>
        <v>53.9</v>
      </c>
    </row>
    <row r="24" spans="1:13" ht="27" customHeight="1" x14ac:dyDescent="0.25">
      <c r="A24" s="190">
        <v>1</v>
      </c>
      <c r="B24" s="86" t="s">
        <v>650</v>
      </c>
      <c r="C24" s="64">
        <v>80</v>
      </c>
      <c r="D24" s="64">
        <v>65</v>
      </c>
      <c r="E24" s="191">
        <v>60</v>
      </c>
      <c r="F24" s="60" t="s">
        <v>28</v>
      </c>
      <c r="G24" s="76" t="s">
        <v>649</v>
      </c>
      <c r="H24" s="166"/>
      <c r="I24" s="73"/>
      <c r="J24" s="73"/>
      <c r="K24" s="73"/>
      <c r="L24" s="73"/>
      <c r="M24" s="73"/>
    </row>
    <row r="25" spans="1:13" ht="33" x14ac:dyDescent="0.25">
      <c r="A25" s="190">
        <v>2</v>
      </c>
      <c r="B25" s="86" t="s">
        <v>651</v>
      </c>
      <c r="C25" s="64">
        <v>100</v>
      </c>
      <c r="D25" s="64">
        <v>75</v>
      </c>
      <c r="E25" s="191">
        <v>60</v>
      </c>
      <c r="F25" s="64">
        <v>1</v>
      </c>
      <c r="G25" s="86" t="s">
        <v>650</v>
      </c>
      <c r="H25" s="166">
        <f t="shared" ref="H25:J29" si="4">C24*1.1</f>
        <v>88</v>
      </c>
      <c r="I25" s="73">
        <f t="shared" si="4"/>
        <v>71.5</v>
      </c>
      <c r="J25" s="73">
        <f t="shared" si="4"/>
        <v>66</v>
      </c>
      <c r="K25" s="73">
        <f t="shared" si="1"/>
        <v>61.599999999999994</v>
      </c>
      <c r="L25" s="73">
        <f t="shared" si="1"/>
        <v>50.05</v>
      </c>
      <c r="M25" s="73">
        <f t="shared" si="1"/>
        <v>46.199999999999996</v>
      </c>
    </row>
    <row r="26" spans="1:13" ht="33" x14ac:dyDescent="0.25">
      <c r="A26" s="190">
        <v>3</v>
      </c>
      <c r="B26" s="86" t="s">
        <v>652</v>
      </c>
      <c r="C26" s="64">
        <v>80</v>
      </c>
      <c r="D26" s="64">
        <v>65</v>
      </c>
      <c r="E26" s="191">
        <v>60</v>
      </c>
      <c r="F26" s="64">
        <v>2</v>
      </c>
      <c r="G26" s="86" t="s">
        <v>651</v>
      </c>
      <c r="H26" s="166">
        <f t="shared" si="4"/>
        <v>110.00000000000001</v>
      </c>
      <c r="I26" s="73">
        <f t="shared" si="4"/>
        <v>82.5</v>
      </c>
      <c r="J26" s="73">
        <f t="shared" si="4"/>
        <v>66</v>
      </c>
      <c r="K26" s="73">
        <f t="shared" si="1"/>
        <v>77</v>
      </c>
      <c r="L26" s="73">
        <f t="shared" si="1"/>
        <v>57.749999999999993</v>
      </c>
      <c r="M26" s="73">
        <f t="shared" si="1"/>
        <v>46.199999999999996</v>
      </c>
    </row>
    <row r="27" spans="1:13" ht="33" x14ac:dyDescent="0.25">
      <c r="A27" s="190">
        <v>4</v>
      </c>
      <c r="B27" s="86" t="s">
        <v>653</v>
      </c>
      <c r="C27" s="64">
        <v>80</v>
      </c>
      <c r="D27" s="64">
        <v>65</v>
      </c>
      <c r="E27" s="191">
        <v>60</v>
      </c>
      <c r="F27" s="64">
        <v>3</v>
      </c>
      <c r="G27" s="86" t="s">
        <v>652</v>
      </c>
      <c r="H27" s="166">
        <f t="shared" si="4"/>
        <v>88</v>
      </c>
      <c r="I27" s="73">
        <f t="shared" si="4"/>
        <v>71.5</v>
      </c>
      <c r="J27" s="73">
        <f t="shared" si="4"/>
        <v>66</v>
      </c>
      <c r="K27" s="73">
        <f t="shared" si="1"/>
        <v>61.599999999999994</v>
      </c>
      <c r="L27" s="73">
        <f t="shared" si="1"/>
        <v>50.05</v>
      </c>
      <c r="M27" s="73">
        <f t="shared" si="1"/>
        <v>46.199999999999996</v>
      </c>
    </row>
    <row r="28" spans="1:13" ht="33" x14ac:dyDescent="0.25">
      <c r="A28" s="190">
        <v>5</v>
      </c>
      <c r="B28" s="86" t="s">
        <v>654</v>
      </c>
      <c r="C28" s="64">
        <v>70</v>
      </c>
      <c r="D28" s="64">
        <v>60</v>
      </c>
      <c r="E28" s="191">
        <v>55</v>
      </c>
      <c r="F28" s="64">
        <v>4</v>
      </c>
      <c r="G28" s="86" t="s">
        <v>653</v>
      </c>
      <c r="H28" s="166">
        <f t="shared" si="4"/>
        <v>88</v>
      </c>
      <c r="I28" s="73">
        <f t="shared" si="4"/>
        <v>71.5</v>
      </c>
      <c r="J28" s="73">
        <f t="shared" si="4"/>
        <v>66</v>
      </c>
      <c r="K28" s="73">
        <f t="shared" si="1"/>
        <v>61.599999999999994</v>
      </c>
      <c r="L28" s="73">
        <f t="shared" si="1"/>
        <v>50.05</v>
      </c>
      <c r="M28" s="73">
        <f t="shared" si="1"/>
        <v>46.199999999999996</v>
      </c>
    </row>
    <row r="29" spans="1:13" ht="16.5" x14ac:dyDescent="0.25">
      <c r="A29" s="189" t="s">
        <v>34</v>
      </c>
      <c r="B29" s="76" t="s">
        <v>655</v>
      </c>
      <c r="C29" s="64"/>
      <c r="D29" s="64"/>
      <c r="E29" s="191"/>
      <c r="F29" s="64">
        <v>5</v>
      </c>
      <c r="G29" s="86" t="s">
        <v>654</v>
      </c>
      <c r="H29" s="166">
        <f t="shared" si="4"/>
        <v>77</v>
      </c>
      <c r="I29" s="73">
        <f t="shared" si="4"/>
        <v>66</v>
      </c>
      <c r="J29" s="73">
        <f t="shared" si="4"/>
        <v>60.500000000000007</v>
      </c>
      <c r="K29" s="73">
        <f t="shared" si="1"/>
        <v>53.9</v>
      </c>
      <c r="L29" s="73">
        <f t="shared" si="1"/>
        <v>46.199999999999996</v>
      </c>
      <c r="M29" s="73">
        <f t="shared" si="1"/>
        <v>42.35</v>
      </c>
    </row>
    <row r="30" spans="1:13" ht="33" x14ac:dyDescent="0.25">
      <c r="A30" s="190">
        <v>1</v>
      </c>
      <c r="B30" s="86" t="s">
        <v>656</v>
      </c>
      <c r="C30" s="64">
        <v>80</v>
      </c>
      <c r="D30" s="64">
        <v>65</v>
      </c>
      <c r="E30" s="191">
        <v>60</v>
      </c>
      <c r="F30" s="60" t="s">
        <v>34</v>
      </c>
      <c r="G30" s="76" t="s">
        <v>655</v>
      </c>
      <c r="H30" s="166"/>
      <c r="I30" s="73"/>
      <c r="J30" s="73"/>
      <c r="K30" s="73"/>
      <c r="L30" s="73"/>
      <c r="M30" s="73"/>
    </row>
    <row r="31" spans="1:13" ht="49.5" x14ac:dyDescent="0.25">
      <c r="A31" s="190">
        <v>2</v>
      </c>
      <c r="B31" s="86" t="s">
        <v>657</v>
      </c>
      <c r="C31" s="64">
        <v>110</v>
      </c>
      <c r="D31" s="64">
        <v>75</v>
      </c>
      <c r="E31" s="191">
        <v>60</v>
      </c>
      <c r="F31" s="64">
        <v>1</v>
      </c>
      <c r="G31" s="86" t="s">
        <v>656</v>
      </c>
      <c r="H31" s="166">
        <f t="shared" ref="H31:J36" si="5">C30*1.1</f>
        <v>88</v>
      </c>
      <c r="I31" s="73">
        <f t="shared" si="5"/>
        <v>71.5</v>
      </c>
      <c r="J31" s="73">
        <f t="shared" si="5"/>
        <v>66</v>
      </c>
      <c r="K31" s="73">
        <f t="shared" si="1"/>
        <v>61.599999999999994</v>
      </c>
      <c r="L31" s="73">
        <f t="shared" si="1"/>
        <v>50.05</v>
      </c>
      <c r="M31" s="73">
        <f t="shared" si="1"/>
        <v>46.199999999999996</v>
      </c>
    </row>
    <row r="32" spans="1:13" ht="49.5" x14ac:dyDescent="0.25">
      <c r="A32" s="190">
        <v>3</v>
      </c>
      <c r="B32" s="86" t="s">
        <v>658</v>
      </c>
      <c r="C32" s="64">
        <v>95</v>
      </c>
      <c r="D32" s="64">
        <v>70</v>
      </c>
      <c r="E32" s="191">
        <v>60</v>
      </c>
      <c r="F32" s="64">
        <v>2</v>
      </c>
      <c r="G32" s="86" t="s">
        <v>657</v>
      </c>
      <c r="H32" s="166">
        <f t="shared" si="5"/>
        <v>121.00000000000001</v>
      </c>
      <c r="I32" s="73">
        <f t="shared" si="5"/>
        <v>82.5</v>
      </c>
      <c r="J32" s="73">
        <f t="shared" si="5"/>
        <v>66</v>
      </c>
      <c r="K32" s="73">
        <f t="shared" si="1"/>
        <v>84.7</v>
      </c>
      <c r="L32" s="73">
        <f t="shared" si="1"/>
        <v>57.749999999999993</v>
      </c>
      <c r="M32" s="73">
        <f t="shared" si="1"/>
        <v>46.199999999999996</v>
      </c>
    </row>
    <row r="33" spans="1:13" ht="33" x14ac:dyDescent="0.25">
      <c r="A33" s="190">
        <v>4</v>
      </c>
      <c r="B33" s="86" t="s">
        <v>659</v>
      </c>
      <c r="C33" s="64">
        <v>95</v>
      </c>
      <c r="D33" s="64">
        <v>70</v>
      </c>
      <c r="E33" s="191">
        <v>60</v>
      </c>
      <c r="F33" s="64">
        <v>3</v>
      </c>
      <c r="G33" s="86" t="s">
        <v>658</v>
      </c>
      <c r="H33" s="166">
        <f t="shared" si="5"/>
        <v>104.50000000000001</v>
      </c>
      <c r="I33" s="73">
        <f t="shared" si="5"/>
        <v>77</v>
      </c>
      <c r="J33" s="73">
        <f t="shared" si="5"/>
        <v>66</v>
      </c>
      <c r="K33" s="73">
        <f t="shared" si="1"/>
        <v>73.150000000000006</v>
      </c>
      <c r="L33" s="73">
        <f t="shared" si="1"/>
        <v>53.9</v>
      </c>
      <c r="M33" s="73">
        <f t="shared" si="1"/>
        <v>46.199999999999996</v>
      </c>
    </row>
    <row r="34" spans="1:13" ht="33" x14ac:dyDescent="0.25">
      <c r="A34" s="190">
        <v>5</v>
      </c>
      <c r="B34" s="86" t="s">
        <v>660</v>
      </c>
      <c r="C34" s="64">
        <v>80</v>
      </c>
      <c r="D34" s="64">
        <v>65</v>
      </c>
      <c r="E34" s="191">
        <v>60</v>
      </c>
      <c r="F34" s="64">
        <v>4</v>
      </c>
      <c r="G34" s="86" t="s">
        <v>659</v>
      </c>
      <c r="H34" s="166">
        <f t="shared" si="5"/>
        <v>104.50000000000001</v>
      </c>
      <c r="I34" s="73">
        <f t="shared" si="5"/>
        <v>77</v>
      </c>
      <c r="J34" s="73">
        <f t="shared" si="5"/>
        <v>66</v>
      </c>
      <c r="K34" s="73">
        <f t="shared" si="1"/>
        <v>73.150000000000006</v>
      </c>
      <c r="L34" s="73">
        <f t="shared" si="1"/>
        <v>53.9</v>
      </c>
      <c r="M34" s="73">
        <f t="shared" si="1"/>
        <v>46.199999999999996</v>
      </c>
    </row>
    <row r="35" spans="1:13" ht="33" x14ac:dyDescent="0.25">
      <c r="A35" s="190">
        <v>6</v>
      </c>
      <c r="B35" s="86" t="s">
        <v>654</v>
      </c>
      <c r="C35" s="64">
        <v>70</v>
      </c>
      <c r="D35" s="64">
        <v>60</v>
      </c>
      <c r="E35" s="191">
        <v>55</v>
      </c>
      <c r="F35" s="64">
        <v>5</v>
      </c>
      <c r="G35" s="86" t="s">
        <v>660</v>
      </c>
      <c r="H35" s="166">
        <f t="shared" si="5"/>
        <v>88</v>
      </c>
      <c r="I35" s="73">
        <f t="shared" si="5"/>
        <v>71.5</v>
      </c>
      <c r="J35" s="73">
        <f t="shared" si="5"/>
        <v>66</v>
      </c>
      <c r="K35" s="73">
        <f t="shared" si="1"/>
        <v>61.599999999999994</v>
      </c>
      <c r="L35" s="73">
        <f t="shared" si="1"/>
        <v>50.05</v>
      </c>
      <c r="M35" s="73">
        <f t="shared" si="1"/>
        <v>46.199999999999996</v>
      </c>
    </row>
    <row r="36" spans="1:13" s="2" customFormat="1" ht="16.5" x14ac:dyDescent="0.25">
      <c r="A36" s="189" t="s">
        <v>42</v>
      </c>
      <c r="B36" s="76" t="s">
        <v>661</v>
      </c>
      <c r="C36" s="64"/>
      <c r="D36" s="64"/>
      <c r="E36" s="191"/>
      <c r="F36" s="64">
        <v>6</v>
      </c>
      <c r="G36" s="86" t="s">
        <v>654</v>
      </c>
      <c r="H36" s="166">
        <f t="shared" si="5"/>
        <v>77</v>
      </c>
      <c r="I36" s="73">
        <f t="shared" si="5"/>
        <v>66</v>
      </c>
      <c r="J36" s="73">
        <f t="shared" si="5"/>
        <v>60.500000000000007</v>
      </c>
      <c r="K36" s="73">
        <f t="shared" si="1"/>
        <v>53.9</v>
      </c>
      <c r="L36" s="73">
        <f t="shared" si="1"/>
        <v>46.199999999999996</v>
      </c>
      <c r="M36" s="73">
        <f t="shared" si="1"/>
        <v>42.35</v>
      </c>
    </row>
    <row r="37" spans="1:13" s="2" customFormat="1" ht="16.5" x14ac:dyDescent="0.25">
      <c r="A37" s="190">
        <v>1</v>
      </c>
      <c r="B37" s="86" t="s">
        <v>662</v>
      </c>
      <c r="C37" s="64">
        <v>100</v>
      </c>
      <c r="D37" s="64">
        <v>75</v>
      </c>
      <c r="E37" s="191">
        <v>60</v>
      </c>
      <c r="F37" s="60" t="s">
        <v>42</v>
      </c>
      <c r="G37" s="76" t="s">
        <v>661</v>
      </c>
      <c r="H37" s="166"/>
      <c r="I37" s="73"/>
      <c r="J37" s="73"/>
      <c r="K37" s="73"/>
      <c r="L37" s="73"/>
      <c r="M37" s="73"/>
    </row>
    <row r="38" spans="1:13" ht="16.5" x14ac:dyDescent="0.25">
      <c r="A38" s="190">
        <v>2</v>
      </c>
      <c r="B38" s="86" t="s">
        <v>663</v>
      </c>
      <c r="C38" s="64">
        <v>80</v>
      </c>
      <c r="D38" s="64">
        <v>65</v>
      </c>
      <c r="E38" s="191">
        <v>60</v>
      </c>
      <c r="F38" s="64">
        <v>1</v>
      </c>
      <c r="G38" s="86" t="s">
        <v>662</v>
      </c>
      <c r="H38" s="166">
        <f t="shared" ref="H38:J41" si="6">C37*1.1</f>
        <v>110.00000000000001</v>
      </c>
      <c r="I38" s="73">
        <f t="shared" si="6"/>
        <v>82.5</v>
      </c>
      <c r="J38" s="73">
        <f t="shared" si="6"/>
        <v>66</v>
      </c>
      <c r="K38" s="73">
        <f t="shared" si="1"/>
        <v>77</v>
      </c>
      <c r="L38" s="73">
        <f t="shared" si="1"/>
        <v>57.749999999999993</v>
      </c>
      <c r="M38" s="73">
        <f t="shared" si="1"/>
        <v>46.199999999999996</v>
      </c>
    </row>
    <row r="39" spans="1:13" ht="33" x14ac:dyDescent="0.25">
      <c r="A39" s="190">
        <v>3</v>
      </c>
      <c r="B39" s="86" t="s">
        <v>664</v>
      </c>
      <c r="C39" s="64">
        <v>80</v>
      </c>
      <c r="D39" s="64">
        <v>65</v>
      </c>
      <c r="E39" s="191">
        <v>60</v>
      </c>
      <c r="F39" s="64">
        <v>2</v>
      </c>
      <c r="G39" s="86" t="s">
        <v>663</v>
      </c>
      <c r="H39" s="166">
        <f t="shared" si="6"/>
        <v>88</v>
      </c>
      <c r="I39" s="73">
        <f t="shared" si="6"/>
        <v>71.5</v>
      </c>
      <c r="J39" s="73">
        <f t="shared" si="6"/>
        <v>66</v>
      </c>
      <c r="K39" s="73">
        <f t="shared" si="1"/>
        <v>61.599999999999994</v>
      </c>
      <c r="L39" s="73">
        <f t="shared" si="1"/>
        <v>50.05</v>
      </c>
      <c r="M39" s="73">
        <f t="shared" si="1"/>
        <v>46.199999999999996</v>
      </c>
    </row>
    <row r="40" spans="1:13" ht="16.5" x14ac:dyDescent="0.25">
      <c r="A40" s="190">
        <v>4</v>
      </c>
      <c r="B40" s="86" t="s">
        <v>654</v>
      </c>
      <c r="C40" s="64">
        <v>70</v>
      </c>
      <c r="D40" s="64">
        <v>60</v>
      </c>
      <c r="E40" s="191">
        <v>55</v>
      </c>
      <c r="F40" s="64">
        <v>3</v>
      </c>
      <c r="G40" s="86" t="s">
        <v>664</v>
      </c>
      <c r="H40" s="166">
        <f t="shared" si="6"/>
        <v>88</v>
      </c>
      <c r="I40" s="73">
        <f t="shared" si="6"/>
        <v>71.5</v>
      </c>
      <c r="J40" s="73">
        <f t="shared" si="6"/>
        <v>66</v>
      </c>
      <c r="K40" s="73">
        <f t="shared" si="1"/>
        <v>61.599999999999994</v>
      </c>
      <c r="L40" s="73">
        <f t="shared" si="1"/>
        <v>50.05</v>
      </c>
      <c r="M40" s="73">
        <f t="shared" si="1"/>
        <v>46.199999999999996</v>
      </c>
    </row>
    <row r="41" spans="1:13" s="2" customFormat="1" ht="16.5" x14ac:dyDescent="0.25">
      <c r="A41" s="189" t="s">
        <v>250</v>
      </c>
      <c r="B41" s="76" t="s">
        <v>665</v>
      </c>
      <c r="C41" s="64"/>
      <c r="D41" s="64"/>
      <c r="E41" s="191"/>
      <c r="F41" s="64">
        <v>4</v>
      </c>
      <c r="G41" s="86" t="s">
        <v>654</v>
      </c>
      <c r="H41" s="166">
        <f t="shared" si="6"/>
        <v>77</v>
      </c>
      <c r="I41" s="73">
        <f t="shared" si="6"/>
        <v>66</v>
      </c>
      <c r="J41" s="73">
        <f t="shared" si="6"/>
        <v>60.500000000000007</v>
      </c>
      <c r="K41" s="73">
        <f t="shared" si="1"/>
        <v>53.9</v>
      </c>
      <c r="L41" s="73">
        <f t="shared" si="1"/>
        <v>46.199999999999996</v>
      </c>
      <c r="M41" s="73">
        <f t="shared" si="1"/>
        <v>42.35</v>
      </c>
    </row>
    <row r="42" spans="1:13" ht="24" customHeight="1" x14ac:dyDescent="0.25">
      <c r="A42" s="190">
        <v>1</v>
      </c>
      <c r="B42" s="86" t="s">
        <v>666</v>
      </c>
      <c r="C42" s="64">
        <v>80</v>
      </c>
      <c r="D42" s="64">
        <v>65</v>
      </c>
      <c r="E42" s="191">
        <v>60</v>
      </c>
      <c r="F42" s="60" t="s">
        <v>250</v>
      </c>
      <c r="G42" s="76" t="s">
        <v>665</v>
      </c>
      <c r="H42" s="166"/>
      <c r="I42" s="73"/>
      <c r="J42" s="73"/>
      <c r="K42" s="73"/>
      <c r="L42" s="73"/>
      <c r="M42" s="73"/>
    </row>
    <row r="43" spans="1:13" ht="33" x14ac:dyDescent="0.25">
      <c r="A43" s="190">
        <v>2</v>
      </c>
      <c r="B43" s="86" t="s">
        <v>667</v>
      </c>
      <c r="C43" s="64">
        <v>100</v>
      </c>
      <c r="D43" s="64">
        <v>75</v>
      </c>
      <c r="E43" s="191">
        <v>60</v>
      </c>
      <c r="F43" s="64">
        <v>1</v>
      </c>
      <c r="G43" s="86" t="s">
        <v>666</v>
      </c>
      <c r="H43" s="166">
        <f t="shared" ref="H43:J47" si="7">C42*1.1</f>
        <v>88</v>
      </c>
      <c r="I43" s="73">
        <f t="shared" si="7"/>
        <v>71.5</v>
      </c>
      <c r="J43" s="73">
        <f t="shared" si="7"/>
        <v>66</v>
      </c>
      <c r="K43" s="73">
        <f t="shared" si="1"/>
        <v>61.599999999999994</v>
      </c>
      <c r="L43" s="73">
        <f t="shared" si="1"/>
        <v>50.05</v>
      </c>
      <c r="M43" s="73">
        <f t="shared" si="1"/>
        <v>46.199999999999996</v>
      </c>
    </row>
    <row r="44" spans="1:13" ht="28.5" customHeight="1" x14ac:dyDescent="0.25">
      <c r="A44" s="190">
        <v>3</v>
      </c>
      <c r="B44" s="86" t="s">
        <v>668</v>
      </c>
      <c r="C44" s="64">
        <v>80</v>
      </c>
      <c r="D44" s="64">
        <v>65</v>
      </c>
      <c r="E44" s="191">
        <v>60</v>
      </c>
      <c r="F44" s="64">
        <v>2</v>
      </c>
      <c r="G44" s="86" t="s">
        <v>667</v>
      </c>
      <c r="H44" s="166">
        <f t="shared" si="7"/>
        <v>110.00000000000001</v>
      </c>
      <c r="I44" s="73">
        <f t="shared" si="7"/>
        <v>82.5</v>
      </c>
      <c r="J44" s="73">
        <f t="shared" si="7"/>
        <v>66</v>
      </c>
      <c r="K44" s="73">
        <f t="shared" si="1"/>
        <v>77</v>
      </c>
      <c r="L44" s="73">
        <f t="shared" si="1"/>
        <v>57.749999999999993</v>
      </c>
      <c r="M44" s="73">
        <f t="shared" si="1"/>
        <v>46.199999999999996</v>
      </c>
    </row>
    <row r="45" spans="1:13" ht="49.5" x14ac:dyDescent="0.25">
      <c r="A45" s="190">
        <v>4</v>
      </c>
      <c r="B45" s="86" t="s">
        <v>669</v>
      </c>
      <c r="C45" s="64">
        <v>100</v>
      </c>
      <c r="D45" s="64">
        <v>75</v>
      </c>
      <c r="E45" s="191">
        <v>60</v>
      </c>
      <c r="F45" s="64">
        <v>3</v>
      </c>
      <c r="G45" s="86" t="s">
        <v>668</v>
      </c>
      <c r="H45" s="166">
        <f t="shared" si="7"/>
        <v>88</v>
      </c>
      <c r="I45" s="73">
        <f t="shared" si="7"/>
        <v>71.5</v>
      </c>
      <c r="J45" s="73">
        <f t="shared" si="7"/>
        <v>66</v>
      </c>
      <c r="K45" s="73">
        <f t="shared" si="1"/>
        <v>61.599999999999994</v>
      </c>
      <c r="L45" s="73">
        <f t="shared" si="1"/>
        <v>50.05</v>
      </c>
      <c r="M45" s="73">
        <f t="shared" si="1"/>
        <v>46.199999999999996</v>
      </c>
    </row>
    <row r="46" spans="1:13" ht="49.5" x14ac:dyDescent="0.25">
      <c r="A46" s="190">
        <v>5</v>
      </c>
      <c r="B46" s="86" t="s">
        <v>670</v>
      </c>
      <c r="C46" s="64">
        <v>70</v>
      </c>
      <c r="D46" s="64">
        <v>60</v>
      </c>
      <c r="E46" s="191">
        <v>55</v>
      </c>
      <c r="F46" s="64">
        <v>4</v>
      </c>
      <c r="G46" s="86" t="s">
        <v>669</v>
      </c>
      <c r="H46" s="166">
        <f t="shared" si="7"/>
        <v>110.00000000000001</v>
      </c>
      <c r="I46" s="73">
        <f t="shared" si="7"/>
        <v>82.5</v>
      </c>
      <c r="J46" s="73">
        <f t="shared" si="7"/>
        <v>66</v>
      </c>
      <c r="K46" s="73">
        <f t="shared" si="1"/>
        <v>77</v>
      </c>
      <c r="L46" s="73">
        <f t="shared" si="1"/>
        <v>57.749999999999993</v>
      </c>
      <c r="M46" s="73">
        <f t="shared" si="1"/>
        <v>46.199999999999996</v>
      </c>
    </row>
    <row r="47" spans="1:13" ht="16.5" x14ac:dyDescent="0.25">
      <c r="A47" s="189" t="s">
        <v>251</v>
      </c>
      <c r="B47" s="76" t="s">
        <v>671</v>
      </c>
      <c r="C47" s="64"/>
      <c r="D47" s="64"/>
      <c r="E47" s="191"/>
      <c r="F47" s="64">
        <v>5</v>
      </c>
      <c r="G47" s="86" t="s">
        <v>670</v>
      </c>
      <c r="H47" s="166">
        <f t="shared" si="7"/>
        <v>77</v>
      </c>
      <c r="I47" s="73">
        <f t="shared" si="7"/>
        <v>66</v>
      </c>
      <c r="J47" s="73">
        <f t="shared" si="7"/>
        <v>60.500000000000007</v>
      </c>
      <c r="K47" s="73">
        <f t="shared" si="1"/>
        <v>53.9</v>
      </c>
      <c r="L47" s="73">
        <f t="shared" si="1"/>
        <v>46.199999999999996</v>
      </c>
      <c r="M47" s="73">
        <f t="shared" si="1"/>
        <v>42.35</v>
      </c>
    </row>
    <row r="48" spans="1:13" ht="21.75" customHeight="1" x14ac:dyDescent="0.25">
      <c r="A48" s="190">
        <v>1</v>
      </c>
      <c r="B48" s="86" t="s">
        <v>672</v>
      </c>
      <c r="C48" s="64">
        <v>100</v>
      </c>
      <c r="D48" s="64">
        <v>75</v>
      </c>
      <c r="E48" s="191">
        <v>60</v>
      </c>
      <c r="F48" s="60" t="s">
        <v>251</v>
      </c>
      <c r="G48" s="76" t="s">
        <v>671</v>
      </c>
      <c r="H48" s="166"/>
      <c r="I48" s="73"/>
      <c r="J48" s="73"/>
      <c r="K48" s="73"/>
      <c r="L48" s="73"/>
      <c r="M48" s="73"/>
    </row>
    <row r="49" spans="1:13" ht="33" x14ac:dyDescent="0.25">
      <c r="A49" s="190">
        <v>2</v>
      </c>
      <c r="B49" s="86" t="s">
        <v>673</v>
      </c>
      <c r="C49" s="64">
        <v>80</v>
      </c>
      <c r="D49" s="64">
        <v>65</v>
      </c>
      <c r="E49" s="191">
        <v>60</v>
      </c>
      <c r="F49" s="64">
        <v>1</v>
      </c>
      <c r="G49" s="86" t="s">
        <v>672</v>
      </c>
      <c r="H49" s="166">
        <f t="shared" ref="H49:J52" si="8">C48*1.1</f>
        <v>110.00000000000001</v>
      </c>
      <c r="I49" s="73">
        <f t="shared" si="8"/>
        <v>82.5</v>
      </c>
      <c r="J49" s="73">
        <f t="shared" si="8"/>
        <v>66</v>
      </c>
      <c r="K49" s="73">
        <f t="shared" si="1"/>
        <v>77</v>
      </c>
      <c r="L49" s="73">
        <f t="shared" si="1"/>
        <v>57.749999999999993</v>
      </c>
      <c r="M49" s="73">
        <f t="shared" si="1"/>
        <v>46.199999999999996</v>
      </c>
    </row>
    <row r="50" spans="1:13" ht="33" x14ac:dyDescent="0.25">
      <c r="A50" s="190">
        <v>3</v>
      </c>
      <c r="B50" s="86" t="s">
        <v>674</v>
      </c>
      <c r="C50" s="64">
        <v>90</v>
      </c>
      <c r="D50" s="64">
        <v>70</v>
      </c>
      <c r="E50" s="191">
        <v>60</v>
      </c>
      <c r="F50" s="64">
        <v>2</v>
      </c>
      <c r="G50" s="86" t="s">
        <v>673</v>
      </c>
      <c r="H50" s="166">
        <f t="shared" si="8"/>
        <v>88</v>
      </c>
      <c r="I50" s="73">
        <f t="shared" si="8"/>
        <v>71.5</v>
      </c>
      <c r="J50" s="73">
        <f t="shared" si="8"/>
        <v>66</v>
      </c>
      <c r="K50" s="73">
        <f t="shared" si="1"/>
        <v>61.599999999999994</v>
      </c>
      <c r="L50" s="73">
        <f t="shared" si="1"/>
        <v>50.05</v>
      </c>
      <c r="M50" s="73">
        <f t="shared" si="1"/>
        <v>46.199999999999996</v>
      </c>
    </row>
    <row r="51" spans="1:13" ht="33" x14ac:dyDescent="0.25">
      <c r="A51" s="190">
        <v>4</v>
      </c>
      <c r="B51" s="86" t="s">
        <v>654</v>
      </c>
      <c r="C51" s="64">
        <v>70</v>
      </c>
      <c r="D51" s="64">
        <v>60</v>
      </c>
      <c r="E51" s="191">
        <v>55</v>
      </c>
      <c r="F51" s="64">
        <v>3</v>
      </c>
      <c r="G51" s="86" t="s">
        <v>674</v>
      </c>
      <c r="H51" s="166">
        <f t="shared" si="8"/>
        <v>99.000000000000014</v>
      </c>
      <c r="I51" s="73">
        <f t="shared" si="8"/>
        <v>77</v>
      </c>
      <c r="J51" s="73">
        <f t="shared" si="8"/>
        <v>66</v>
      </c>
      <c r="K51" s="73">
        <f t="shared" si="1"/>
        <v>69.300000000000011</v>
      </c>
      <c r="L51" s="73">
        <f t="shared" si="1"/>
        <v>53.9</v>
      </c>
      <c r="M51" s="73">
        <f t="shared" si="1"/>
        <v>46.199999999999996</v>
      </c>
    </row>
    <row r="52" spans="1:13" ht="33" x14ac:dyDescent="0.25">
      <c r="A52" s="189" t="s">
        <v>315</v>
      </c>
      <c r="B52" s="76" t="s">
        <v>675</v>
      </c>
      <c r="C52" s="64"/>
      <c r="D52" s="64"/>
      <c r="E52" s="191"/>
      <c r="F52" s="64">
        <v>4</v>
      </c>
      <c r="G52" s="86" t="s">
        <v>654</v>
      </c>
      <c r="H52" s="166">
        <f t="shared" si="8"/>
        <v>77</v>
      </c>
      <c r="I52" s="73">
        <f t="shared" si="8"/>
        <v>66</v>
      </c>
      <c r="J52" s="73">
        <f t="shared" si="8"/>
        <v>60.500000000000007</v>
      </c>
      <c r="K52" s="73">
        <f t="shared" si="1"/>
        <v>53.9</v>
      </c>
      <c r="L52" s="73">
        <f t="shared" si="1"/>
        <v>46.199999999999996</v>
      </c>
      <c r="M52" s="73">
        <f t="shared" si="1"/>
        <v>42.35</v>
      </c>
    </row>
    <row r="53" spans="1:13" s="2" customFormat="1" ht="24" customHeight="1" x14ac:dyDescent="0.25">
      <c r="A53" s="190">
        <v>1</v>
      </c>
      <c r="B53" s="86" t="s">
        <v>676</v>
      </c>
      <c r="C53" s="64">
        <v>80</v>
      </c>
      <c r="D53" s="64">
        <v>65</v>
      </c>
      <c r="E53" s="191">
        <v>60</v>
      </c>
      <c r="F53" s="60" t="s">
        <v>315</v>
      </c>
      <c r="G53" s="76" t="s">
        <v>675</v>
      </c>
      <c r="H53" s="166"/>
      <c r="I53" s="73"/>
      <c r="J53" s="73"/>
      <c r="K53" s="73"/>
      <c r="L53" s="73"/>
      <c r="M53" s="73"/>
    </row>
    <row r="54" spans="1:13" s="2" customFormat="1" ht="49.5" x14ac:dyDescent="0.25">
      <c r="A54" s="190">
        <v>2</v>
      </c>
      <c r="B54" s="86" t="s">
        <v>677</v>
      </c>
      <c r="C54" s="64">
        <v>80</v>
      </c>
      <c r="D54" s="64">
        <v>65</v>
      </c>
      <c r="E54" s="191">
        <v>60</v>
      </c>
      <c r="F54" s="64">
        <v>1</v>
      </c>
      <c r="G54" s="86" t="s">
        <v>676</v>
      </c>
      <c r="H54" s="166">
        <f t="shared" ref="H54:J60" si="9">C53*1.1</f>
        <v>88</v>
      </c>
      <c r="I54" s="73">
        <f t="shared" si="9"/>
        <v>71.5</v>
      </c>
      <c r="J54" s="73">
        <f t="shared" si="9"/>
        <v>66</v>
      </c>
      <c r="K54" s="73">
        <f t="shared" si="1"/>
        <v>61.599999999999994</v>
      </c>
      <c r="L54" s="73">
        <f t="shared" si="1"/>
        <v>50.05</v>
      </c>
      <c r="M54" s="73">
        <f t="shared" si="1"/>
        <v>46.199999999999996</v>
      </c>
    </row>
    <row r="55" spans="1:13" s="2" customFormat="1" ht="33" x14ac:dyDescent="0.25">
      <c r="A55" s="190">
        <v>3</v>
      </c>
      <c r="B55" s="86" t="s">
        <v>678</v>
      </c>
      <c r="C55" s="64">
        <v>120</v>
      </c>
      <c r="D55" s="64">
        <v>85</v>
      </c>
      <c r="E55" s="191">
        <v>70</v>
      </c>
      <c r="F55" s="64">
        <v>2</v>
      </c>
      <c r="G55" s="86" t="s">
        <v>677</v>
      </c>
      <c r="H55" s="166">
        <f t="shared" si="9"/>
        <v>88</v>
      </c>
      <c r="I55" s="73">
        <f t="shared" si="9"/>
        <v>71.5</v>
      </c>
      <c r="J55" s="73">
        <f t="shared" si="9"/>
        <v>66</v>
      </c>
      <c r="K55" s="73">
        <f t="shared" si="1"/>
        <v>61.599999999999994</v>
      </c>
      <c r="L55" s="73">
        <f t="shared" si="1"/>
        <v>50.05</v>
      </c>
      <c r="M55" s="73">
        <f t="shared" si="1"/>
        <v>46.199999999999996</v>
      </c>
    </row>
    <row r="56" spans="1:13" ht="49.5" x14ac:dyDescent="0.25">
      <c r="A56" s="190">
        <v>4</v>
      </c>
      <c r="B56" s="86" t="s">
        <v>679</v>
      </c>
      <c r="C56" s="64">
        <v>80</v>
      </c>
      <c r="D56" s="64">
        <v>65</v>
      </c>
      <c r="E56" s="191">
        <v>60</v>
      </c>
      <c r="F56" s="64">
        <v>3</v>
      </c>
      <c r="G56" s="86" t="s">
        <v>678</v>
      </c>
      <c r="H56" s="166">
        <f t="shared" si="9"/>
        <v>132</v>
      </c>
      <c r="I56" s="73">
        <f t="shared" si="9"/>
        <v>93.500000000000014</v>
      </c>
      <c r="J56" s="73">
        <f t="shared" si="9"/>
        <v>77</v>
      </c>
      <c r="K56" s="73">
        <f t="shared" si="1"/>
        <v>92.399999999999991</v>
      </c>
      <c r="L56" s="73">
        <f t="shared" si="1"/>
        <v>65.45</v>
      </c>
      <c r="M56" s="73">
        <f t="shared" si="1"/>
        <v>53.9</v>
      </c>
    </row>
    <row r="57" spans="1:13" ht="33" x14ac:dyDescent="0.25">
      <c r="A57" s="190">
        <v>5</v>
      </c>
      <c r="B57" s="86" t="s">
        <v>680</v>
      </c>
      <c r="C57" s="64">
        <v>120</v>
      </c>
      <c r="D57" s="64">
        <v>85</v>
      </c>
      <c r="E57" s="191">
        <v>70</v>
      </c>
      <c r="F57" s="64">
        <v>4</v>
      </c>
      <c r="G57" s="86" t="s">
        <v>679</v>
      </c>
      <c r="H57" s="166">
        <f t="shared" si="9"/>
        <v>88</v>
      </c>
      <c r="I57" s="73">
        <f t="shared" si="9"/>
        <v>71.5</v>
      </c>
      <c r="J57" s="73">
        <f t="shared" si="9"/>
        <v>66</v>
      </c>
      <c r="K57" s="73">
        <f t="shared" si="1"/>
        <v>61.599999999999994</v>
      </c>
      <c r="L57" s="73">
        <f t="shared" si="1"/>
        <v>50.05</v>
      </c>
      <c r="M57" s="73">
        <f t="shared" si="1"/>
        <v>46.199999999999996</v>
      </c>
    </row>
    <row r="58" spans="1:13" ht="49.5" x14ac:dyDescent="0.25">
      <c r="A58" s="190">
        <v>6</v>
      </c>
      <c r="B58" s="86" t="s">
        <v>681</v>
      </c>
      <c r="C58" s="64">
        <v>80</v>
      </c>
      <c r="D58" s="64">
        <v>65</v>
      </c>
      <c r="E58" s="191">
        <v>60</v>
      </c>
      <c r="F58" s="64">
        <v>5</v>
      </c>
      <c r="G58" s="86" t="s">
        <v>680</v>
      </c>
      <c r="H58" s="166">
        <f t="shared" si="9"/>
        <v>132</v>
      </c>
      <c r="I58" s="73">
        <f t="shared" si="9"/>
        <v>93.500000000000014</v>
      </c>
      <c r="J58" s="73">
        <f t="shared" si="9"/>
        <v>77</v>
      </c>
      <c r="K58" s="73">
        <f t="shared" si="1"/>
        <v>92.399999999999991</v>
      </c>
      <c r="L58" s="73">
        <f t="shared" si="1"/>
        <v>65.45</v>
      </c>
      <c r="M58" s="73">
        <f t="shared" si="1"/>
        <v>53.9</v>
      </c>
    </row>
    <row r="59" spans="1:13" s="2" customFormat="1" ht="33" x14ac:dyDescent="0.25">
      <c r="A59" s="190">
        <v>7</v>
      </c>
      <c r="B59" s="86" t="s">
        <v>682</v>
      </c>
      <c r="C59" s="64">
        <v>70</v>
      </c>
      <c r="D59" s="64">
        <v>60</v>
      </c>
      <c r="E59" s="191">
        <v>55</v>
      </c>
      <c r="F59" s="64">
        <v>6</v>
      </c>
      <c r="G59" s="86" t="s">
        <v>681</v>
      </c>
      <c r="H59" s="166">
        <f t="shared" si="9"/>
        <v>88</v>
      </c>
      <c r="I59" s="73">
        <f t="shared" si="9"/>
        <v>71.5</v>
      </c>
      <c r="J59" s="73">
        <f t="shared" si="9"/>
        <v>66</v>
      </c>
      <c r="K59" s="73">
        <f t="shared" si="1"/>
        <v>61.599999999999994</v>
      </c>
      <c r="L59" s="73">
        <f t="shared" si="1"/>
        <v>50.05</v>
      </c>
      <c r="M59" s="73">
        <f t="shared" si="1"/>
        <v>46.199999999999996</v>
      </c>
    </row>
    <row r="60" spans="1:13" s="2" customFormat="1" ht="16.5" x14ac:dyDescent="0.25">
      <c r="A60" s="189" t="s">
        <v>321</v>
      </c>
      <c r="B60" s="76" t="s">
        <v>683</v>
      </c>
      <c r="C60" s="64"/>
      <c r="D60" s="64"/>
      <c r="E60" s="191"/>
      <c r="F60" s="64">
        <v>7</v>
      </c>
      <c r="G60" s="86" t="s">
        <v>682</v>
      </c>
      <c r="H60" s="166">
        <f t="shared" si="9"/>
        <v>77</v>
      </c>
      <c r="I60" s="73">
        <f t="shared" si="9"/>
        <v>66</v>
      </c>
      <c r="J60" s="73">
        <f t="shared" si="9"/>
        <v>60.500000000000007</v>
      </c>
      <c r="K60" s="73">
        <f t="shared" si="1"/>
        <v>53.9</v>
      </c>
      <c r="L60" s="73">
        <f t="shared" si="1"/>
        <v>46.199999999999996</v>
      </c>
      <c r="M60" s="73">
        <f t="shared" si="1"/>
        <v>42.35</v>
      </c>
    </row>
    <row r="61" spans="1:13" ht="24" customHeight="1" x14ac:dyDescent="0.25">
      <c r="A61" s="190">
        <v>1</v>
      </c>
      <c r="B61" s="86" t="s">
        <v>684</v>
      </c>
      <c r="C61" s="64">
        <v>100</v>
      </c>
      <c r="D61" s="64">
        <v>75</v>
      </c>
      <c r="E61" s="191">
        <v>60</v>
      </c>
      <c r="F61" s="60" t="s">
        <v>321</v>
      </c>
      <c r="G61" s="76" t="s">
        <v>683</v>
      </c>
      <c r="H61" s="166"/>
      <c r="I61" s="73"/>
      <c r="J61" s="73"/>
      <c r="K61" s="73"/>
      <c r="L61" s="73"/>
      <c r="M61" s="73"/>
    </row>
    <row r="62" spans="1:13" ht="33" x14ac:dyDescent="0.25">
      <c r="A62" s="190">
        <v>2</v>
      </c>
      <c r="B62" s="86" t="s">
        <v>685</v>
      </c>
      <c r="C62" s="64">
        <v>150</v>
      </c>
      <c r="D62" s="64">
        <v>130</v>
      </c>
      <c r="E62" s="191">
        <v>100</v>
      </c>
      <c r="F62" s="64">
        <v>1</v>
      </c>
      <c r="G62" s="86" t="s">
        <v>684</v>
      </c>
      <c r="H62" s="166">
        <f t="shared" ref="H62:J67" si="10">C61*1.1</f>
        <v>110.00000000000001</v>
      </c>
      <c r="I62" s="73">
        <f t="shared" si="10"/>
        <v>82.5</v>
      </c>
      <c r="J62" s="73">
        <f t="shared" si="10"/>
        <v>66</v>
      </c>
      <c r="K62" s="73">
        <f t="shared" si="1"/>
        <v>77</v>
      </c>
      <c r="L62" s="73">
        <f t="shared" si="1"/>
        <v>57.749999999999993</v>
      </c>
      <c r="M62" s="73">
        <f t="shared" si="1"/>
        <v>46.199999999999996</v>
      </c>
    </row>
    <row r="63" spans="1:13" s="2" customFormat="1" ht="33" x14ac:dyDescent="0.25">
      <c r="A63" s="190">
        <v>3</v>
      </c>
      <c r="B63" s="86" t="s">
        <v>686</v>
      </c>
      <c r="C63" s="64">
        <v>100</v>
      </c>
      <c r="D63" s="64">
        <v>75</v>
      </c>
      <c r="E63" s="191">
        <v>60</v>
      </c>
      <c r="F63" s="64">
        <v>2</v>
      </c>
      <c r="G63" s="86" t="s">
        <v>685</v>
      </c>
      <c r="H63" s="166">
        <f t="shared" si="10"/>
        <v>165</v>
      </c>
      <c r="I63" s="73">
        <f t="shared" si="10"/>
        <v>143</v>
      </c>
      <c r="J63" s="73">
        <f t="shared" si="10"/>
        <v>110.00000000000001</v>
      </c>
      <c r="K63" s="73">
        <f t="shared" si="1"/>
        <v>115.49999999999999</v>
      </c>
      <c r="L63" s="73">
        <f t="shared" si="1"/>
        <v>100.1</v>
      </c>
      <c r="M63" s="73">
        <f t="shared" si="1"/>
        <v>77</v>
      </c>
    </row>
    <row r="64" spans="1:13" ht="49.5" x14ac:dyDescent="0.25">
      <c r="A64" s="190">
        <v>4</v>
      </c>
      <c r="B64" s="86" t="s">
        <v>687</v>
      </c>
      <c r="C64" s="64">
        <v>150</v>
      </c>
      <c r="D64" s="64">
        <v>130</v>
      </c>
      <c r="E64" s="191">
        <v>100</v>
      </c>
      <c r="F64" s="64">
        <v>3</v>
      </c>
      <c r="G64" s="86" t="s">
        <v>686</v>
      </c>
      <c r="H64" s="166">
        <f t="shared" si="10"/>
        <v>110.00000000000001</v>
      </c>
      <c r="I64" s="73">
        <f t="shared" si="10"/>
        <v>82.5</v>
      </c>
      <c r="J64" s="73">
        <f t="shared" si="10"/>
        <v>66</v>
      </c>
      <c r="K64" s="73">
        <f t="shared" si="1"/>
        <v>77</v>
      </c>
      <c r="L64" s="73">
        <f t="shared" si="1"/>
        <v>57.749999999999993</v>
      </c>
      <c r="M64" s="73">
        <f t="shared" si="1"/>
        <v>46.199999999999996</v>
      </c>
    </row>
    <row r="65" spans="1:13" s="2" customFormat="1" ht="33" x14ac:dyDescent="0.25">
      <c r="A65" s="190">
        <v>5</v>
      </c>
      <c r="B65" s="86" t="s">
        <v>688</v>
      </c>
      <c r="C65" s="64">
        <v>100</v>
      </c>
      <c r="D65" s="64">
        <v>75</v>
      </c>
      <c r="E65" s="191">
        <v>60</v>
      </c>
      <c r="F65" s="64">
        <v>4</v>
      </c>
      <c r="G65" s="86" t="s">
        <v>687</v>
      </c>
      <c r="H65" s="166">
        <f t="shared" si="10"/>
        <v>165</v>
      </c>
      <c r="I65" s="73">
        <f t="shared" si="10"/>
        <v>143</v>
      </c>
      <c r="J65" s="73">
        <f t="shared" si="10"/>
        <v>110.00000000000001</v>
      </c>
      <c r="K65" s="73">
        <f t="shared" si="1"/>
        <v>115.49999999999999</v>
      </c>
      <c r="L65" s="73">
        <f t="shared" si="1"/>
        <v>100.1</v>
      </c>
      <c r="M65" s="73">
        <f t="shared" si="1"/>
        <v>77</v>
      </c>
    </row>
    <row r="66" spans="1:13" ht="33" x14ac:dyDescent="0.25">
      <c r="A66" s="190">
        <v>6</v>
      </c>
      <c r="B66" s="86" t="s">
        <v>654</v>
      </c>
      <c r="C66" s="64">
        <v>70</v>
      </c>
      <c r="D66" s="64">
        <v>60</v>
      </c>
      <c r="E66" s="191">
        <v>55</v>
      </c>
      <c r="F66" s="64">
        <v>5</v>
      </c>
      <c r="G66" s="86" t="s">
        <v>688</v>
      </c>
      <c r="H66" s="166">
        <f t="shared" si="10"/>
        <v>110.00000000000001</v>
      </c>
      <c r="I66" s="73">
        <f t="shared" si="10"/>
        <v>82.5</v>
      </c>
      <c r="J66" s="73">
        <f t="shared" si="10"/>
        <v>66</v>
      </c>
      <c r="K66" s="73">
        <f t="shared" si="1"/>
        <v>77</v>
      </c>
      <c r="L66" s="73">
        <f t="shared" si="1"/>
        <v>57.749999999999993</v>
      </c>
      <c r="M66" s="73">
        <f t="shared" si="1"/>
        <v>46.199999999999996</v>
      </c>
    </row>
    <row r="67" spans="1:13" ht="16.5" x14ac:dyDescent="0.25">
      <c r="A67" s="189" t="s">
        <v>325</v>
      </c>
      <c r="B67" s="76" t="s">
        <v>689</v>
      </c>
      <c r="C67" s="64"/>
      <c r="D67" s="64"/>
      <c r="E67" s="191"/>
      <c r="F67" s="64">
        <v>6</v>
      </c>
      <c r="G67" s="86" t="s">
        <v>654</v>
      </c>
      <c r="H67" s="166">
        <f t="shared" si="10"/>
        <v>77</v>
      </c>
      <c r="I67" s="73">
        <f t="shared" si="10"/>
        <v>66</v>
      </c>
      <c r="J67" s="73">
        <f t="shared" si="10"/>
        <v>60.500000000000007</v>
      </c>
      <c r="K67" s="73">
        <f t="shared" si="1"/>
        <v>53.9</v>
      </c>
      <c r="L67" s="73">
        <f t="shared" si="1"/>
        <v>46.199999999999996</v>
      </c>
      <c r="M67" s="73">
        <f t="shared" si="1"/>
        <v>42.35</v>
      </c>
    </row>
    <row r="68" spans="1:13" ht="25.5" customHeight="1" x14ac:dyDescent="0.25">
      <c r="A68" s="190">
        <v>1</v>
      </c>
      <c r="B68" s="86" t="s">
        <v>690</v>
      </c>
      <c r="C68" s="64">
        <v>150</v>
      </c>
      <c r="D68" s="64">
        <v>130</v>
      </c>
      <c r="E68" s="191">
        <v>100</v>
      </c>
      <c r="F68" s="60" t="s">
        <v>325</v>
      </c>
      <c r="G68" s="76" t="s">
        <v>689</v>
      </c>
      <c r="H68" s="166"/>
      <c r="I68" s="73"/>
      <c r="J68" s="73"/>
      <c r="K68" s="73"/>
      <c r="L68" s="73"/>
      <c r="M68" s="73"/>
    </row>
    <row r="69" spans="1:13" ht="33" x14ac:dyDescent="0.25">
      <c r="A69" s="190">
        <v>2</v>
      </c>
      <c r="B69" s="86" t="s">
        <v>691</v>
      </c>
      <c r="C69" s="64">
        <v>250</v>
      </c>
      <c r="D69" s="64">
        <v>150</v>
      </c>
      <c r="E69" s="191">
        <v>100</v>
      </c>
      <c r="F69" s="64">
        <v>1</v>
      </c>
      <c r="G69" s="86" t="s">
        <v>690</v>
      </c>
      <c r="H69" s="166">
        <f t="shared" ref="H69:J75" si="11">C68*1.1</f>
        <v>165</v>
      </c>
      <c r="I69" s="73">
        <f t="shared" si="11"/>
        <v>143</v>
      </c>
      <c r="J69" s="73">
        <f t="shared" si="11"/>
        <v>110.00000000000001</v>
      </c>
      <c r="K69" s="73">
        <f t="shared" si="1"/>
        <v>115.49999999999999</v>
      </c>
      <c r="L69" s="73">
        <f t="shared" si="1"/>
        <v>100.1</v>
      </c>
      <c r="M69" s="73">
        <f t="shared" si="1"/>
        <v>77</v>
      </c>
    </row>
    <row r="70" spans="1:13" ht="33" x14ac:dyDescent="0.25">
      <c r="A70" s="190">
        <v>3</v>
      </c>
      <c r="B70" s="86" t="s">
        <v>692</v>
      </c>
      <c r="C70" s="64">
        <v>150</v>
      </c>
      <c r="D70" s="64">
        <v>130</v>
      </c>
      <c r="E70" s="191">
        <v>100</v>
      </c>
      <c r="F70" s="64">
        <v>2</v>
      </c>
      <c r="G70" s="86" t="s">
        <v>691</v>
      </c>
      <c r="H70" s="166">
        <f t="shared" si="11"/>
        <v>275</v>
      </c>
      <c r="I70" s="73">
        <f t="shared" si="11"/>
        <v>165</v>
      </c>
      <c r="J70" s="73">
        <f t="shared" si="11"/>
        <v>110.00000000000001</v>
      </c>
      <c r="K70" s="73">
        <f t="shared" si="1"/>
        <v>192.5</v>
      </c>
      <c r="L70" s="73">
        <f t="shared" si="1"/>
        <v>115.49999999999999</v>
      </c>
      <c r="M70" s="73">
        <f t="shared" si="1"/>
        <v>77</v>
      </c>
    </row>
    <row r="71" spans="1:13" ht="33" x14ac:dyDescent="0.25">
      <c r="A71" s="190">
        <v>4</v>
      </c>
      <c r="B71" s="86" t="s">
        <v>693</v>
      </c>
      <c r="C71" s="64">
        <v>250</v>
      </c>
      <c r="D71" s="64">
        <v>150</v>
      </c>
      <c r="E71" s="191">
        <v>100</v>
      </c>
      <c r="F71" s="64">
        <v>3</v>
      </c>
      <c r="G71" s="86" t="s">
        <v>692</v>
      </c>
      <c r="H71" s="166">
        <f t="shared" si="11"/>
        <v>165</v>
      </c>
      <c r="I71" s="73">
        <f t="shared" si="11"/>
        <v>143</v>
      </c>
      <c r="J71" s="73">
        <f t="shared" si="11"/>
        <v>110.00000000000001</v>
      </c>
      <c r="K71" s="73">
        <f t="shared" ref="K71:M115" si="12">H71*70%</f>
        <v>115.49999999999999</v>
      </c>
      <c r="L71" s="73">
        <f t="shared" si="12"/>
        <v>100.1</v>
      </c>
      <c r="M71" s="73">
        <f t="shared" si="12"/>
        <v>77</v>
      </c>
    </row>
    <row r="72" spans="1:13" ht="33" x14ac:dyDescent="0.25">
      <c r="A72" s="190">
        <v>5</v>
      </c>
      <c r="B72" s="86" t="s">
        <v>694</v>
      </c>
      <c r="C72" s="64">
        <v>150</v>
      </c>
      <c r="D72" s="64">
        <v>130</v>
      </c>
      <c r="E72" s="191">
        <v>100</v>
      </c>
      <c r="F72" s="64">
        <v>4</v>
      </c>
      <c r="G72" s="86" t="s">
        <v>693</v>
      </c>
      <c r="H72" s="166">
        <f t="shared" si="11"/>
        <v>275</v>
      </c>
      <c r="I72" s="73">
        <f t="shared" si="11"/>
        <v>165</v>
      </c>
      <c r="J72" s="73">
        <f t="shared" si="11"/>
        <v>110.00000000000001</v>
      </c>
      <c r="K72" s="73">
        <f t="shared" si="12"/>
        <v>192.5</v>
      </c>
      <c r="L72" s="73">
        <f t="shared" si="12"/>
        <v>115.49999999999999</v>
      </c>
      <c r="M72" s="73">
        <f t="shared" si="12"/>
        <v>77</v>
      </c>
    </row>
    <row r="73" spans="1:13" ht="33" x14ac:dyDescent="0.25">
      <c r="A73" s="190">
        <v>6</v>
      </c>
      <c r="B73" s="86" t="s">
        <v>695</v>
      </c>
      <c r="C73" s="64">
        <v>250</v>
      </c>
      <c r="D73" s="64">
        <v>150</v>
      </c>
      <c r="E73" s="191">
        <v>100</v>
      </c>
      <c r="F73" s="64">
        <v>5</v>
      </c>
      <c r="G73" s="86" t="s">
        <v>694</v>
      </c>
      <c r="H73" s="166">
        <f t="shared" si="11"/>
        <v>165</v>
      </c>
      <c r="I73" s="73">
        <f t="shared" si="11"/>
        <v>143</v>
      </c>
      <c r="J73" s="73">
        <f t="shared" si="11"/>
        <v>110.00000000000001</v>
      </c>
      <c r="K73" s="73">
        <f t="shared" si="12"/>
        <v>115.49999999999999</v>
      </c>
      <c r="L73" s="73">
        <f t="shared" si="12"/>
        <v>100.1</v>
      </c>
      <c r="M73" s="73">
        <f t="shared" si="12"/>
        <v>77</v>
      </c>
    </row>
    <row r="74" spans="1:13" ht="33" x14ac:dyDescent="0.25">
      <c r="A74" s="190">
        <v>7</v>
      </c>
      <c r="B74" s="86" t="s">
        <v>696</v>
      </c>
      <c r="C74" s="64">
        <v>100</v>
      </c>
      <c r="D74" s="64">
        <v>75</v>
      </c>
      <c r="E74" s="191">
        <v>60</v>
      </c>
      <c r="F74" s="64">
        <v>6</v>
      </c>
      <c r="G74" s="86" t="s">
        <v>695</v>
      </c>
      <c r="H74" s="166">
        <f t="shared" si="11"/>
        <v>275</v>
      </c>
      <c r="I74" s="73">
        <f t="shared" si="11"/>
        <v>165</v>
      </c>
      <c r="J74" s="73">
        <f t="shared" si="11"/>
        <v>110.00000000000001</v>
      </c>
      <c r="K74" s="73">
        <f t="shared" si="12"/>
        <v>192.5</v>
      </c>
      <c r="L74" s="73">
        <f t="shared" si="12"/>
        <v>115.49999999999999</v>
      </c>
      <c r="M74" s="73">
        <f t="shared" si="12"/>
        <v>77</v>
      </c>
    </row>
    <row r="75" spans="1:13" ht="16.5" x14ac:dyDescent="0.25">
      <c r="A75" s="189" t="s">
        <v>330</v>
      </c>
      <c r="B75" s="76" t="s">
        <v>697</v>
      </c>
      <c r="C75" s="64"/>
      <c r="D75" s="64"/>
      <c r="E75" s="191"/>
      <c r="F75" s="64">
        <v>7</v>
      </c>
      <c r="G75" s="86" t="s">
        <v>696</v>
      </c>
      <c r="H75" s="166">
        <f t="shared" si="11"/>
        <v>110.00000000000001</v>
      </c>
      <c r="I75" s="73">
        <f t="shared" si="11"/>
        <v>82.5</v>
      </c>
      <c r="J75" s="73">
        <f t="shared" si="11"/>
        <v>66</v>
      </c>
      <c r="K75" s="73">
        <f t="shared" si="12"/>
        <v>77</v>
      </c>
      <c r="L75" s="73">
        <f t="shared" si="12"/>
        <v>57.749999999999993</v>
      </c>
      <c r="M75" s="73">
        <f t="shared" si="12"/>
        <v>46.199999999999996</v>
      </c>
    </row>
    <row r="76" spans="1:13" ht="33" x14ac:dyDescent="0.25">
      <c r="A76" s="190">
        <v>1</v>
      </c>
      <c r="B76" s="86" t="s">
        <v>698</v>
      </c>
      <c r="C76" s="64">
        <v>120</v>
      </c>
      <c r="D76" s="64">
        <v>85</v>
      </c>
      <c r="E76" s="191">
        <v>70</v>
      </c>
      <c r="F76" s="60" t="s">
        <v>330</v>
      </c>
      <c r="G76" s="76" t="s">
        <v>697</v>
      </c>
      <c r="H76" s="166"/>
      <c r="I76" s="73"/>
      <c r="J76" s="73"/>
      <c r="K76" s="73"/>
      <c r="L76" s="73"/>
      <c r="M76" s="73"/>
    </row>
    <row r="77" spans="1:13" ht="33" x14ac:dyDescent="0.25">
      <c r="A77" s="190">
        <v>2</v>
      </c>
      <c r="B77" s="86" t="s">
        <v>699</v>
      </c>
      <c r="C77" s="64">
        <v>160</v>
      </c>
      <c r="D77" s="64">
        <v>120</v>
      </c>
      <c r="E77" s="191">
        <v>80</v>
      </c>
      <c r="F77" s="64">
        <v>1</v>
      </c>
      <c r="G77" s="86" t="s">
        <v>698</v>
      </c>
      <c r="H77" s="166">
        <f t="shared" ref="H77:J84" si="13">C76*1.1</f>
        <v>132</v>
      </c>
      <c r="I77" s="73">
        <f t="shared" si="13"/>
        <v>93.500000000000014</v>
      </c>
      <c r="J77" s="73">
        <f t="shared" si="13"/>
        <v>77</v>
      </c>
      <c r="K77" s="73">
        <f t="shared" si="12"/>
        <v>92.399999999999991</v>
      </c>
      <c r="L77" s="73">
        <f t="shared" si="12"/>
        <v>65.45</v>
      </c>
      <c r="M77" s="73">
        <f t="shared" si="12"/>
        <v>53.9</v>
      </c>
    </row>
    <row r="78" spans="1:13" ht="33" x14ac:dyDescent="0.25">
      <c r="A78" s="190">
        <v>3</v>
      </c>
      <c r="B78" s="86" t="s">
        <v>700</v>
      </c>
      <c r="C78" s="64">
        <v>120</v>
      </c>
      <c r="D78" s="64">
        <v>85</v>
      </c>
      <c r="E78" s="191">
        <v>70</v>
      </c>
      <c r="F78" s="64">
        <v>2</v>
      </c>
      <c r="G78" s="86" t="s">
        <v>699</v>
      </c>
      <c r="H78" s="166">
        <f t="shared" si="13"/>
        <v>176</v>
      </c>
      <c r="I78" s="73">
        <f t="shared" si="13"/>
        <v>132</v>
      </c>
      <c r="J78" s="73">
        <f t="shared" si="13"/>
        <v>88</v>
      </c>
      <c r="K78" s="73">
        <f t="shared" si="12"/>
        <v>123.19999999999999</v>
      </c>
      <c r="L78" s="73">
        <f t="shared" si="12"/>
        <v>92.399999999999991</v>
      </c>
      <c r="M78" s="73">
        <f t="shared" si="12"/>
        <v>61.599999999999994</v>
      </c>
    </row>
    <row r="79" spans="1:13" ht="33" x14ac:dyDescent="0.25">
      <c r="A79" s="190">
        <v>4</v>
      </c>
      <c r="B79" s="86" t="s">
        <v>701</v>
      </c>
      <c r="C79" s="64">
        <v>160</v>
      </c>
      <c r="D79" s="64">
        <v>120</v>
      </c>
      <c r="E79" s="191">
        <v>80</v>
      </c>
      <c r="F79" s="64">
        <v>3</v>
      </c>
      <c r="G79" s="86" t="s">
        <v>700</v>
      </c>
      <c r="H79" s="166">
        <f t="shared" si="13"/>
        <v>132</v>
      </c>
      <c r="I79" s="73">
        <f t="shared" si="13"/>
        <v>93.500000000000014</v>
      </c>
      <c r="J79" s="73">
        <f t="shared" si="13"/>
        <v>77</v>
      </c>
      <c r="K79" s="73">
        <f t="shared" si="12"/>
        <v>92.399999999999991</v>
      </c>
      <c r="L79" s="73">
        <f t="shared" si="12"/>
        <v>65.45</v>
      </c>
      <c r="M79" s="73">
        <f t="shared" si="12"/>
        <v>53.9</v>
      </c>
    </row>
    <row r="80" spans="1:13" ht="33" x14ac:dyDescent="0.25">
      <c r="A80" s="190">
        <v>5</v>
      </c>
      <c r="B80" s="86" t="s">
        <v>702</v>
      </c>
      <c r="C80" s="64">
        <v>120</v>
      </c>
      <c r="D80" s="64">
        <v>85</v>
      </c>
      <c r="E80" s="191">
        <v>70</v>
      </c>
      <c r="F80" s="64">
        <v>4</v>
      </c>
      <c r="G80" s="86" t="s">
        <v>701</v>
      </c>
      <c r="H80" s="166">
        <f t="shared" si="13"/>
        <v>176</v>
      </c>
      <c r="I80" s="73">
        <f t="shared" si="13"/>
        <v>132</v>
      </c>
      <c r="J80" s="73">
        <f t="shared" si="13"/>
        <v>88</v>
      </c>
      <c r="K80" s="73">
        <f t="shared" si="12"/>
        <v>123.19999999999999</v>
      </c>
      <c r="L80" s="73">
        <f t="shared" si="12"/>
        <v>92.399999999999991</v>
      </c>
      <c r="M80" s="73">
        <f t="shared" si="12"/>
        <v>61.599999999999994</v>
      </c>
    </row>
    <row r="81" spans="1:13" ht="49.5" x14ac:dyDescent="0.25">
      <c r="A81" s="190">
        <v>6</v>
      </c>
      <c r="B81" s="86" t="s">
        <v>703</v>
      </c>
      <c r="C81" s="64">
        <v>90</v>
      </c>
      <c r="D81" s="64">
        <v>70</v>
      </c>
      <c r="E81" s="191">
        <v>60</v>
      </c>
      <c r="F81" s="64">
        <v>5</v>
      </c>
      <c r="G81" s="86" t="s">
        <v>702</v>
      </c>
      <c r="H81" s="166">
        <f t="shared" si="13"/>
        <v>132</v>
      </c>
      <c r="I81" s="73">
        <f t="shared" si="13"/>
        <v>93.500000000000014</v>
      </c>
      <c r="J81" s="73">
        <f t="shared" si="13"/>
        <v>77</v>
      </c>
      <c r="K81" s="73">
        <f t="shared" si="12"/>
        <v>92.399999999999991</v>
      </c>
      <c r="L81" s="73">
        <f t="shared" si="12"/>
        <v>65.45</v>
      </c>
      <c r="M81" s="73">
        <f t="shared" si="12"/>
        <v>53.9</v>
      </c>
    </row>
    <row r="82" spans="1:13" ht="49.5" x14ac:dyDescent="0.25">
      <c r="A82" s="190">
        <v>7</v>
      </c>
      <c r="B82" s="86" t="s">
        <v>704</v>
      </c>
      <c r="C82" s="64">
        <v>120</v>
      </c>
      <c r="D82" s="64">
        <v>85</v>
      </c>
      <c r="E82" s="191">
        <v>70</v>
      </c>
      <c r="F82" s="64">
        <v>6</v>
      </c>
      <c r="G82" s="86" t="s">
        <v>703</v>
      </c>
      <c r="H82" s="166">
        <f t="shared" si="13"/>
        <v>99.000000000000014</v>
      </c>
      <c r="I82" s="73">
        <f t="shared" si="13"/>
        <v>77</v>
      </c>
      <c r="J82" s="73">
        <f t="shared" si="13"/>
        <v>66</v>
      </c>
      <c r="K82" s="73">
        <f t="shared" si="12"/>
        <v>69.300000000000011</v>
      </c>
      <c r="L82" s="73">
        <f t="shared" si="12"/>
        <v>53.9</v>
      </c>
      <c r="M82" s="73">
        <f t="shared" si="12"/>
        <v>46.199999999999996</v>
      </c>
    </row>
    <row r="83" spans="1:13" ht="33" x14ac:dyDescent="0.25">
      <c r="A83" s="190">
        <v>8</v>
      </c>
      <c r="B83" s="86" t="s">
        <v>696</v>
      </c>
      <c r="C83" s="64">
        <v>85</v>
      </c>
      <c r="D83" s="64">
        <v>65</v>
      </c>
      <c r="E83" s="191">
        <v>60</v>
      </c>
      <c r="F83" s="64">
        <v>7</v>
      </c>
      <c r="G83" s="86" t="s">
        <v>704</v>
      </c>
      <c r="H83" s="166">
        <f t="shared" si="13"/>
        <v>132</v>
      </c>
      <c r="I83" s="73">
        <f t="shared" si="13"/>
        <v>93.500000000000014</v>
      </c>
      <c r="J83" s="73">
        <f t="shared" si="13"/>
        <v>77</v>
      </c>
      <c r="K83" s="73">
        <f t="shared" si="12"/>
        <v>92.399999999999991</v>
      </c>
      <c r="L83" s="73">
        <f t="shared" si="12"/>
        <v>65.45</v>
      </c>
      <c r="M83" s="73">
        <f t="shared" si="12"/>
        <v>53.9</v>
      </c>
    </row>
    <row r="84" spans="1:13" ht="16.5" x14ac:dyDescent="0.25">
      <c r="A84" s="189" t="s">
        <v>339</v>
      </c>
      <c r="B84" s="76" t="s">
        <v>705</v>
      </c>
      <c r="C84" s="64"/>
      <c r="D84" s="64"/>
      <c r="E84" s="191"/>
      <c r="F84" s="64">
        <v>8</v>
      </c>
      <c r="G84" s="86" t="s">
        <v>696</v>
      </c>
      <c r="H84" s="166">
        <f t="shared" si="13"/>
        <v>93.500000000000014</v>
      </c>
      <c r="I84" s="73">
        <f t="shared" si="13"/>
        <v>71.5</v>
      </c>
      <c r="J84" s="73">
        <f t="shared" si="13"/>
        <v>66</v>
      </c>
      <c r="K84" s="73">
        <f t="shared" si="12"/>
        <v>65.45</v>
      </c>
      <c r="L84" s="73">
        <f t="shared" si="12"/>
        <v>50.05</v>
      </c>
      <c r="M84" s="73">
        <f t="shared" si="12"/>
        <v>46.199999999999996</v>
      </c>
    </row>
    <row r="85" spans="1:13" ht="28.5" customHeight="1" x14ac:dyDescent="0.25">
      <c r="A85" s="190">
        <v>1</v>
      </c>
      <c r="B85" s="86" t="s">
        <v>706</v>
      </c>
      <c r="C85" s="64">
        <v>120</v>
      </c>
      <c r="D85" s="64">
        <v>72</v>
      </c>
      <c r="E85" s="191">
        <v>50</v>
      </c>
      <c r="F85" s="60" t="s">
        <v>339</v>
      </c>
      <c r="G85" s="76" t="s">
        <v>705</v>
      </c>
      <c r="H85" s="166"/>
      <c r="I85" s="73"/>
      <c r="J85" s="73"/>
      <c r="K85" s="73"/>
      <c r="L85" s="73"/>
      <c r="M85" s="73"/>
    </row>
    <row r="86" spans="1:13" ht="49.5" x14ac:dyDescent="0.25">
      <c r="A86" s="190">
        <v>2</v>
      </c>
      <c r="B86" s="86" t="s">
        <v>708</v>
      </c>
      <c r="C86" s="64">
        <v>160</v>
      </c>
      <c r="D86" s="64">
        <v>120</v>
      </c>
      <c r="E86" s="191">
        <v>80</v>
      </c>
      <c r="F86" s="64">
        <v>1</v>
      </c>
      <c r="G86" s="86" t="s">
        <v>707</v>
      </c>
      <c r="H86" s="166">
        <f t="shared" ref="H86:J89" si="14">C85*1.1</f>
        <v>132</v>
      </c>
      <c r="I86" s="73">
        <f t="shared" si="14"/>
        <v>79.2</v>
      </c>
      <c r="J86" s="73">
        <f t="shared" si="14"/>
        <v>55.000000000000007</v>
      </c>
      <c r="K86" s="73">
        <f t="shared" si="12"/>
        <v>92.399999999999991</v>
      </c>
      <c r="L86" s="73">
        <f t="shared" si="12"/>
        <v>55.44</v>
      </c>
      <c r="M86" s="73">
        <f t="shared" si="12"/>
        <v>38.5</v>
      </c>
    </row>
    <row r="87" spans="1:13" s="2" customFormat="1" ht="49.5" x14ac:dyDescent="0.25">
      <c r="A87" s="190">
        <v>3</v>
      </c>
      <c r="B87" s="86" t="s">
        <v>709</v>
      </c>
      <c r="C87" s="64">
        <v>90</v>
      </c>
      <c r="D87" s="64">
        <v>55</v>
      </c>
      <c r="E87" s="191">
        <v>40</v>
      </c>
      <c r="F87" s="64">
        <v>2</v>
      </c>
      <c r="G87" s="86" t="s">
        <v>708</v>
      </c>
      <c r="H87" s="166">
        <f t="shared" si="14"/>
        <v>176</v>
      </c>
      <c r="I87" s="73">
        <f t="shared" si="14"/>
        <v>132</v>
      </c>
      <c r="J87" s="73">
        <f t="shared" si="14"/>
        <v>88</v>
      </c>
      <c r="K87" s="73">
        <f t="shared" si="12"/>
        <v>123.19999999999999</v>
      </c>
      <c r="L87" s="73">
        <f t="shared" si="12"/>
        <v>92.399999999999991</v>
      </c>
      <c r="M87" s="73">
        <f t="shared" si="12"/>
        <v>61.599999999999994</v>
      </c>
    </row>
    <row r="88" spans="1:13" s="2" customFormat="1" ht="33" x14ac:dyDescent="0.25">
      <c r="A88" s="190">
        <v>4</v>
      </c>
      <c r="B88" s="86" t="s">
        <v>696</v>
      </c>
      <c r="C88" s="64">
        <v>85</v>
      </c>
      <c r="D88" s="64">
        <v>65</v>
      </c>
      <c r="E88" s="191">
        <v>60</v>
      </c>
      <c r="F88" s="64">
        <v>3</v>
      </c>
      <c r="G88" s="86" t="s">
        <v>709</v>
      </c>
      <c r="H88" s="166">
        <f t="shared" si="14"/>
        <v>99.000000000000014</v>
      </c>
      <c r="I88" s="73">
        <f t="shared" si="14"/>
        <v>60.500000000000007</v>
      </c>
      <c r="J88" s="73">
        <f t="shared" si="14"/>
        <v>44</v>
      </c>
      <c r="K88" s="73">
        <f t="shared" si="12"/>
        <v>69.300000000000011</v>
      </c>
      <c r="L88" s="73">
        <f t="shared" si="12"/>
        <v>42.35</v>
      </c>
      <c r="M88" s="73">
        <f t="shared" si="12"/>
        <v>30.799999999999997</v>
      </c>
    </row>
    <row r="89" spans="1:13" s="2" customFormat="1" ht="33" x14ac:dyDescent="0.25">
      <c r="A89" s="189" t="s">
        <v>344</v>
      </c>
      <c r="B89" s="76" t="s">
        <v>710</v>
      </c>
      <c r="C89" s="64"/>
      <c r="D89" s="64"/>
      <c r="E89" s="191"/>
      <c r="F89" s="64">
        <v>4</v>
      </c>
      <c r="G89" s="86" t="s">
        <v>696</v>
      </c>
      <c r="H89" s="166">
        <f t="shared" si="14"/>
        <v>93.500000000000014</v>
      </c>
      <c r="I89" s="73">
        <f t="shared" si="14"/>
        <v>71.5</v>
      </c>
      <c r="J89" s="73">
        <f t="shared" si="14"/>
        <v>66</v>
      </c>
      <c r="K89" s="73">
        <f t="shared" si="12"/>
        <v>65.45</v>
      </c>
      <c r="L89" s="73">
        <f t="shared" si="12"/>
        <v>50.05</v>
      </c>
      <c r="M89" s="73">
        <f t="shared" si="12"/>
        <v>46.199999999999996</v>
      </c>
    </row>
    <row r="90" spans="1:13" ht="33" x14ac:dyDescent="0.25">
      <c r="A90" s="190">
        <v>1</v>
      </c>
      <c r="B90" s="86" t="s">
        <v>711</v>
      </c>
      <c r="C90" s="64">
        <v>120</v>
      </c>
      <c r="D90" s="64">
        <v>85</v>
      </c>
      <c r="E90" s="191">
        <v>70</v>
      </c>
      <c r="F90" s="60" t="s">
        <v>344</v>
      </c>
      <c r="G90" s="76" t="s">
        <v>710</v>
      </c>
      <c r="H90" s="166"/>
      <c r="I90" s="73"/>
      <c r="J90" s="73"/>
      <c r="K90" s="73"/>
      <c r="L90" s="73"/>
      <c r="M90" s="73"/>
    </row>
    <row r="91" spans="1:13" ht="33" x14ac:dyDescent="0.25">
      <c r="A91" s="190">
        <v>2</v>
      </c>
      <c r="B91" s="86" t="s">
        <v>712</v>
      </c>
      <c r="C91" s="64">
        <v>600</v>
      </c>
      <c r="D91" s="64">
        <v>320</v>
      </c>
      <c r="E91" s="191">
        <v>250</v>
      </c>
      <c r="F91" s="64">
        <v>1</v>
      </c>
      <c r="G91" s="86" t="s">
        <v>711</v>
      </c>
      <c r="H91" s="166">
        <f t="shared" ref="H91:J100" si="15">C90*1.1</f>
        <v>132</v>
      </c>
      <c r="I91" s="73">
        <f t="shared" si="15"/>
        <v>93.500000000000014</v>
      </c>
      <c r="J91" s="73">
        <f t="shared" si="15"/>
        <v>77</v>
      </c>
      <c r="K91" s="73">
        <f t="shared" si="12"/>
        <v>92.399999999999991</v>
      </c>
      <c r="L91" s="73">
        <f t="shared" si="12"/>
        <v>65.45</v>
      </c>
      <c r="M91" s="73">
        <f t="shared" si="12"/>
        <v>53.9</v>
      </c>
    </row>
    <row r="92" spans="1:13" ht="33" x14ac:dyDescent="0.25">
      <c r="A92" s="190">
        <v>3</v>
      </c>
      <c r="B92" s="86" t="s">
        <v>713</v>
      </c>
      <c r="C92" s="64">
        <v>380</v>
      </c>
      <c r="D92" s="64">
        <v>250</v>
      </c>
      <c r="E92" s="191">
        <v>160</v>
      </c>
      <c r="F92" s="64">
        <v>2</v>
      </c>
      <c r="G92" s="86" t="s">
        <v>712</v>
      </c>
      <c r="H92" s="166">
        <f t="shared" si="15"/>
        <v>660</v>
      </c>
      <c r="I92" s="73">
        <f t="shared" si="15"/>
        <v>352</v>
      </c>
      <c r="J92" s="73">
        <f t="shared" si="15"/>
        <v>275</v>
      </c>
      <c r="K92" s="73">
        <f t="shared" si="12"/>
        <v>461.99999999999994</v>
      </c>
      <c r="L92" s="73">
        <f t="shared" si="12"/>
        <v>246.39999999999998</v>
      </c>
      <c r="M92" s="73">
        <f t="shared" si="12"/>
        <v>192.5</v>
      </c>
    </row>
    <row r="93" spans="1:13" ht="33" x14ac:dyDescent="0.25">
      <c r="A93" s="190">
        <v>4</v>
      </c>
      <c r="B93" s="86" t="s">
        <v>714</v>
      </c>
      <c r="C93" s="64">
        <v>120</v>
      </c>
      <c r="D93" s="64">
        <v>85</v>
      </c>
      <c r="E93" s="191">
        <v>70</v>
      </c>
      <c r="F93" s="64">
        <v>3</v>
      </c>
      <c r="G93" s="86" t="s">
        <v>713</v>
      </c>
      <c r="H93" s="166">
        <f t="shared" si="15"/>
        <v>418.00000000000006</v>
      </c>
      <c r="I93" s="73">
        <f t="shared" si="15"/>
        <v>275</v>
      </c>
      <c r="J93" s="73">
        <f t="shared" si="15"/>
        <v>176</v>
      </c>
      <c r="K93" s="73">
        <f t="shared" si="12"/>
        <v>292.60000000000002</v>
      </c>
      <c r="L93" s="73">
        <f t="shared" si="12"/>
        <v>192.5</v>
      </c>
      <c r="M93" s="73">
        <f t="shared" si="12"/>
        <v>123.19999999999999</v>
      </c>
    </row>
    <row r="94" spans="1:13" ht="33" x14ac:dyDescent="0.25">
      <c r="A94" s="190">
        <v>5</v>
      </c>
      <c r="B94" s="86" t="s">
        <v>715</v>
      </c>
      <c r="C94" s="64">
        <v>600</v>
      </c>
      <c r="D94" s="64">
        <v>320</v>
      </c>
      <c r="E94" s="191">
        <v>250</v>
      </c>
      <c r="F94" s="64">
        <v>4</v>
      </c>
      <c r="G94" s="86" t="s">
        <v>714</v>
      </c>
      <c r="H94" s="166">
        <f t="shared" si="15"/>
        <v>132</v>
      </c>
      <c r="I94" s="73">
        <f t="shared" si="15"/>
        <v>93.500000000000014</v>
      </c>
      <c r="J94" s="73">
        <f t="shared" si="15"/>
        <v>77</v>
      </c>
      <c r="K94" s="73">
        <f t="shared" si="12"/>
        <v>92.399999999999991</v>
      </c>
      <c r="L94" s="73">
        <f t="shared" si="12"/>
        <v>65.45</v>
      </c>
      <c r="M94" s="73">
        <f t="shared" si="12"/>
        <v>53.9</v>
      </c>
    </row>
    <row r="95" spans="1:13" ht="33" x14ac:dyDescent="0.25">
      <c r="A95" s="190">
        <v>6</v>
      </c>
      <c r="B95" s="86" t="s">
        <v>716</v>
      </c>
      <c r="C95" s="64">
        <v>300</v>
      </c>
      <c r="D95" s="64">
        <v>200</v>
      </c>
      <c r="E95" s="191">
        <v>150</v>
      </c>
      <c r="F95" s="64">
        <v>5</v>
      </c>
      <c r="G95" s="86" t="s">
        <v>715</v>
      </c>
      <c r="H95" s="166">
        <f t="shared" si="15"/>
        <v>660</v>
      </c>
      <c r="I95" s="73">
        <f t="shared" si="15"/>
        <v>352</v>
      </c>
      <c r="J95" s="73">
        <f t="shared" si="15"/>
        <v>275</v>
      </c>
      <c r="K95" s="73">
        <f t="shared" si="12"/>
        <v>461.99999999999994</v>
      </c>
      <c r="L95" s="73">
        <f t="shared" si="12"/>
        <v>246.39999999999998</v>
      </c>
      <c r="M95" s="73">
        <f t="shared" si="12"/>
        <v>192.5</v>
      </c>
    </row>
    <row r="96" spans="1:13" ht="36" customHeight="1" x14ac:dyDescent="0.25">
      <c r="A96" s="190">
        <v>7</v>
      </c>
      <c r="B96" s="86" t="s">
        <v>717</v>
      </c>
      <c r="C96" s="64">
        <v>120</v>
      </c>
      <c r="D96" s="64">
        <v>85</v>
      </c>
      <c r="E96" s="191">
        <v>70</v>
      </c>
      <c r="F96" s="64">
        <v>6</v>
      </c>
      <c r="G96" s="86" t="s">
        <v>716</v>
      </c>
      <c r="H96" s="166">
        <f t="shared" si="15"/>
        <v>330</v>
      </c>
      <c r="I96" s="73">
        <f t="shared" si="15"/>
        <v>220.00000000000003</v>
      </c>
      <c r="J96" s="73">
        <f t="shared" si="15"/>
        <v>165</v>
      </c>
      <c r="K96" s="73">
        <f t="shared" si="12"/>
        <v>230.99999999999997</v>
      </c>
      <c r="L96" s="73">
        <f t="shared" si="12"/>
        <v>154</v>
      </c>
      <c r="M96" s="73">
        <f t="shared" si="12"/>
        <v>115.49999999999999</v>
      </c>
    </row>
    <row r="97" spans="1:13" ht="33" x14ac:dyDescent="0.25">
      <c r="A97" s="190">
        <v>8</v>
      </c>
      <c r="B97" s="86" t="s">
        <v>718</v>
      </c>
      <c r="C97" s="64">
        <v>100</v>
      </c>
      <c r="D97" s="64">
        <v>75</v>
      </c>
      <c r="E97" s="191">
        <v>60</v>
      </c>
      <c r="F97" s="64">
        <v>7</v>
      </c>
      <c r="G97" s="86" t="s">
        <v>717</v>
      </c>
      <c r="H97" s="166">
        <f t="shared" si="15"/>
        <v>132</v>
      </c>
      <c r="I97" s="73">
        <f t="shared" si="15"/>
        <v>93.500000000000014</v>
      </c>
      <c r="J97" s="73">
        <f t="shared" si="15"/>
        <v>77</v>
      </c>
      <c r="K97" s="73">
        <f t="shared" si="12"/>
        <v>92.399999999999991</v>
      </c>
      <c r="L97" s="73">
        <f t="shared" si="12"/>
        <v>65.45</v>
      </c>
      <c r="M97" s="73">
        <f t="shared" si="12"/>
        <v>53.9</v>
      </c>
    </row>
    <row r="98" spans="1:13" ht="33" x14ac:dyDescent="0.25">
      <c r="A98" s="190">
        <v>9</v>
      </c>
      <c r="B98" s="86" t="s">
        <v>719</v>
      </c>
      <c r="C98" s="64">
        <v>520</v>
      </c>
      <c r="D98" s="64">
        <v>310</v>
      </c>
      <c r="E98" s="191">
        <v>260</v>
      </c>
      <c r="F98" s="64">
        <v>8</v>
      </c>
      <c r="G98" s="86" t="s">
        <v>718</v>
      </c>
      <c r="H98" s="166">
        <f t="shared" si="15"/>
        <v>110.00000000000001</v>
      </c>
      <c r="I98" s="73">
        <f t="shared" si="15"/>
        <v>82.5</v>
      </c>
      <c r="J98" s="73">
        <f t="shared" si="15"/>
        <v>66</v>
      </c>
      <c r="K98" s="73">
        <f t="shared" si="12"/>
        <v>77</v>
      </c>
      <c r="L98" s="73">
        <f t="shared" si="12"/>
        <v>57.749999999999993</v>
      </c>
      <c r="M98" s="73">
        <f t="shared" si="12"/>
        <v>46.199999999999996</v>
      </c>
    </row>
    <row r="99" spans="1:13" ht="16.5" x14ac:dyDescent="0.25">
      <c r="A99" s="190">
        <v>10</v>
      </c>
      <c r="B99" s="86" t="s">
        <v>720</v>
      </c>
      <c r="C99" s="64">
        <v>80</v>
      </c>
      <c r="D99" s="64">
        <v>65</v>
      </c>
      <c r="E99" s="191">
        <v>60</v>
      </c>
      <c r="F99" s="64">
        <v>9</v>
      </c>
      <c r="G99" s="86" t="s">
        <v>719</v>
      </c>
      <c r="H99" s="166">
        <f t="shared" si="15"/>
        <v>572</v>
      </c>
      <c r="I99" s="73">
        <f t="shared" si="15"/>
        <v>341</v>
      </c>
      <c r="J99" s="73">
        <f t="shared" si="15"/>
        <v>286</v>
      </c>
      <c r="K99" s="73">
        <f t="shared" si="12"/>
        <v>400.4</v>
      </c>
      <c r="L99" s="73">
        <f t="shared" si="12"/>
        <v>238.7</v>
      </c>
      <c r="M99" s="73">
        <f t="shared" si="12"/>
        <v>200.2</v>
      </c>
    </row>
    <row r="100" spans="1:13" ht="33" x14ac:dyDescent="0.25">
      <c r="A100" s="189" t="s">
        <v>540</v>
      </c>
      <c r="B100" s="76" t="s">
        <v>721</v>
      </c>
      <c r="C100" s="64"/>
      <c r="D100" s="64"/>
      <c r="E100" s="191"/>
      <c r="F100" s="64">
        <v>10</v>
      </c>
      <c r="G100" s="86" t="s">
        <v>720</v>
      </c>
      <c r="H100" s="166">
        <f t="shared" si="15"/>
        <v>88</v>
      </c>
      <c r="I100" s="73">
        <f t="shared" si="15"/>
        <v>71.5</v>
      </c>
      <c r="J100" s="73">
        <f t="shared" si="15"/>
        <v>66</v>
      </c>
      <c r="K100" s="73">
        <f t="shared" si="12"/>
        <v>61.599999999999994</v>
      </c>
      <c r="L100" s="73">
        <f t="shared" si="12"/>
        <v>50.05</v>
      </c>
      <c r="M100" s="73">
        <f t="shared" si="12"/>
        <v>46.199999999999996</v>
      </c>
    </row>
    <row r="101" spans="1:13" ht="24.75" customHeight="1" x14ac:dyDescent="0.25">
      <c r="A101" s="190">
        <v>1</v>
      </c>
      <c r="B101" s="86" t="s">
        <v>722</v>
      </c>
      <c r="C101" s="64">
        <v>120</v>
      </c>
      <c r="D101" s="64">
        <v>85</v>
      </c>
      <c r="E101" s="191">
        <v>70</v>
      </c>
      <c r="F101" s="60" t="s">
        <v>540</v>
      </c>
      <c r="G101" s="76" t="s">
        <v>721</v>
      </c>
      <c r="H101" s="166"/>
      <c r="I101" s="73"/>
      <c r="J101" s="73"/>
      <c r="K101" s="73"/>
      <c r="L101" s="73"/>
      <c r="M101" s="73"/>
    </row>
    <row r="102" spans="1:13" ht="33" x14ac:dyDescent="0.25">
      <c r="A102" s="190">
        <v>2</v>
      </c>
      <c r="B102" s="86" t="s">
        <v>723</v>
      </c>
      <c r="C102" s="64">
        <v>160</v>
      </c>
      <c r="D102" s="64">
        <v>120</v>
      </c>
      <c r="E102" s="191">
        <v>80</v>
      </c>
      <c r="F102" s="64">
        <v>1</v>
      </c>
      <c r="G102" s="86" t="s">
        <v>722</v>
      </c>
      <c r="H102" s="166">
        <f t="shared" ref="H102:J105" si="16">C101*1.1</f>
        <v>132</v>
      </c>
      <c r="I102" s="73">
        <f t="shared" si="16"/>
        <v>93.500000000000014</v>
      </c>
      <c r="J102" s="73">
        <f t="shared" si="16"/>
        <v>77</v>
      </c>
      <c r="K102" s="73">
        <f>H102*70%</f>
        <v>92.399999999999991</v>
      </c>
      <c r="L102" s="73">
        <f t="shared" si="12"/>
        <v>65.45</v>
      </c>
      <c r="M102" s="73">
        <f t="shared" si="12"/>
        <v>53.9</v>
      </c>
    </row>
    <row r="103" spans="1:13" ht="33" x14ac:dyDescent="0.25">
      <c r="A103" s="190">
        <v>3</v>
      </c>
      <c r="B103" s="86" t="s">
        <v>724</v>
      </c>
      <c r="C103" s="64">
        <v>90</v>
      </c>
      <c r="D103" s="64">
        <v>65</v>
      </c>
      <c r="E103" s="191">
        <v>60</v>
      </c>
      <c r="F103" s="64">
        <v>2</v>
      </c>
      <c r="G103" s="86" t="s">
        <v>723</v>
      </c>
      <c r="H103" s="166">
        <f t="shared" si="16"/>
        <v>176</v>
      </c>
      <c r="I103" s="73">
        <f t="shared" si="16"/>
        <v>132</v>
      </c>
      <c r="J103" s="73">
        <f t="shared" si="16"/>
        <v>88</v>
      </c>
      <c r="K103" s="73">
        <f t="shared" si="12"/>
        <v>123.19999999999999</v>
      </c>
      <c r="L103" s="73">
        <f t="shared" si="12"/>
        <v>92.399999999999991</v>
      </c>
      <c r="M103" s="73">
        <f t="shared" si="12"/>
        <v>61.599999999999994</v>
      </c>
    </row>
    <row r="104" spans="1:13" ht="33" x14ac:dyDescent="0.25">
      <c r="A104" s="190">
        <v>4</v>
      </c>
      <c r="B104" s="86" t="s">
        <v>654</v>
      </c>
      <c r="C104" s="64">
        <v>70</v>
      </c>
      <c r="D104" s="64">
        <v>60</v>
      </c>
      <c r="E104" s="191">
        <v>55</v>
      </c>
      <c r="F104" s="64">
        <v>3</v>
      </c>
      <c r="G104" s="86" t="s">
        <v>724</v>
      </c>
      <c r="H104" s="166">
        <f t="shared" si="16"/>
        <v>99.000000000000014</v>
      </c>
      <c r="I104" s="73">
        <f t="shared" si="16"/>
        <v>71.5</v>
      </c>
      <c r="J104" s="73">
        <f t="shared" si="16"/>
        <v>66</v>
      </c>
      <c r="K104" s="73">
        <f t="shared" si="12"/>
        <v>69.300000000000011</v>
      </c>
      <c r="L104" s="73">
        <f t="shared" si="12"/>
        <v>50.05</v>
      </c>
      <c r="M104" s="73">
        <f t="shared" si="12"/>
        <v>46.199999999999996</v>
      </c>
    </row>
    <row r="105" spans="1:13" ht="16.5" x14ac:dyDescent="0.25">
      <c r="A105" s="189" t="s">
        <v>544</v>
      </c>
      <c r="B105" s="76" t="s">
        <v>725</v>
      </c>
      <c r="C105" s="64"/>
      <c r="D105" s="64"/>
      <c r="E105" s="191"/>
      <c r="F105" s="64">
        <v>4</v>
      </c>
      <c r="G105" s="86" t="s">
        <v>654</v>
      </c>
      <c r="H105" s="166">
        <f t="shared" si="16"/>
        <v>77</v>
      </c>
      <c r="I105" s="73">
        <f t="shared" si="16"/>
        <v>66</v>
      </c>
      <c r="J105" s="73">
        <f t="shared" si="16"/>
        <v>60.500000000000007</v>
      </c>
      <c r="K105" s="73">
        <f t="shared" si="12"/>
        <v>53.9</v>
      </c>
      <c r="L105" s="73">
        <f t="shared" si="12"/>
        <v>46.199999999999996</v>
      </c>
      <c r="M105" s="73">
        <f t="shared" si="12"/>
        <v>42.35</v>
      </c>
    </row>
    <row r="106" spans="1:13" ht="31.5" customHeight="1" x14ac:dyDescent="0.25">
      <c r="A106" s="190">
        <v>1</v>
      </c>
      <c r="B106" s="86" t="s">
        <v>726</v>
      </c>
      <c r="C106" s="64">
        <v>100</v>
      </c>
      <c r="D106" s="64">
        <v>75</v>
      </c>
      <c r="E106" s="191">
        <v>60</v>
      </c>
      <c r="F106" s="60" t="s">
        <v>544</v>
      </c>
      <c r="G106" s="76" t="s">
        <v>725</v>
      </c>
      <c r="H106" s="166"/>
      <c r="I106" s="73"/>
      <c r="J106" s="73"/>
      <c r="K106" s="73"/>
      <c r="L106" s="73"/>
      <c r="M106" s="73"/>
    </row>
    <row r="107" spans="1:13" ht="49.5" x14ac:dyDescent="0.25">
      <c r="A107" s="190">
        <v>2</v>
      </c>
      <c r="B107" s="86" t="s">
        <v>727</v>
      </c>
      <c r="C107" s="64">
        <v>150</v>
      </c>
      <c r="D107" s="64">
        <v>100</v>
      </c>
      <c r="E107" s="191">
        <v>80</v>
      </c>
      <c r="F107" s="64">
        <v>1</v>
      </c>
      <c r="G107" s="86" t="s">
        <v>726</v>
      </c>
      <c r="H107" s="166">
        <f t="shared" ref="H107:J110" si="17">C106*1.1</f>
        <v>110.00000000000001</v>
      </c>
      <c r="I107" s="73">
        <f t="shared" si="17"/>
        <v>82.5</v>
      </c>
      <c r="J107" s="73">
        <f t="shared" si="17"/>
        <v>66</v>
      </c>
      <c r="K107" s="73">
        <f t="shared" si="12"/>
        <v>77</v>
      </c>
      <c r="L107" s="73">
        <f t="shared" si="12"/>
        <v>57.749999999999993</v>
      </c>
      <c r="M107" s="73">
        <f t="shared" si="12"/>
        <v>46.199999999999996</v>
      </c>
    </row>
    <row r="108" spans="1:13" ht="49.5" x14ac:dyDescent="0.25">
      <c r="A108" s="190">
        <v>3</v>
      </c>
      <c r="B108" s="86" t="s">
        <v>728</v>
      </c>
      <c r="C108" s="64">
        <v>100</v>
      </c>
      <c r="D108" s="64">
        <v>75</v>
      </c>
      <c r="E108" s="191">
        <v>60</v>
      </c>
      <c r="F108" s="64">
        <v>2</v>
      </c>
      <c r="G108" s="86" t="s">
        <v>727</v>
      </c>
      <c r="H108" s="166">
        <f t="shared" si="17"/>
        <v>165</v>
      </c>
      <c r="I108" s="73">
        <f t="shared" si="17"/>
        <v>110.00000000000001</v>
      </c>
      <c r="J108" s="73">
        <f t="shared" si="17"/>
        <v>88</v>
      </c>
      <c r="K108" s="73">
        <f t="shared" si="12"/>
        <v>115.49999999999999</v>
      </c>
      <c r="L108" s="73">
        <f t="shared" si="12"/>
        <v>77</v>
      </c>
      <c r="M108" s="73">
        <f t="shared" si="12"/>
        <v>61.599999999999994</v>
      </c>
    </row>
    <row r="109" spans="1:13" ht="33" x14ac:dyDescent="0.25">
      <c r="A109" s="190">
        <v>4</v>
      </c>
      <c r="B109" s="86" t="s">
        <v>654</v>
      </c>
      <c r="C109" s="64">
        <v>85</v>
      </c>
      <c r="D109" s="64">
        <v>65</v>
      </c>
      <c r="E109" s="191">
        <v>60</v>
      </c>
      <c r="F109" s="64">
        <v>3</v>
      </c>
      <c r="G109" s="86" t="s">
        <v>728</v>
      </c>
      <c r="H109" s="166">
        <f t="shared" si="17"/>
        <v>110.00000000000001</v>
      </c>
      <c r="I109" s="73">
        <f t="shared" si="17"/>
        <v>82.5</v>
      </c>
      <c r="J109" s="73">
        <f t="shared" si="17"/>
        <v>66</v>
      </c>
      <c r="K109" s="73">
        <f t="shared" si="12"/>
        <v>77</v>
      </c>
      <c r="L109" s="73">
        <f t="shared" si="12"/>
        <v>57.749999999999993</v>
      </c>
      <c r="M109" s="73">
        <f t="shared" si="12"/>
        <v>46.199999999999996</v>
      </c>
    </row>
    <row r="110" spans="1:13" ht="33" x14ac:dyDescent="0.25">
      <c r="A110" s="189" t="s">
        <v>547</v>
      </c>
      <c r="B110" s="76" t="s">
        <v>729</v>
      </c>
      <c r="C110" s="64"/>
      <c r="D110" s="64"/>
      <c r="E110" s="191"/>
      <c r="F110" s="64">
        <v>4</v>
      </c>
      <c r="G110" s="86" t="s">
        <v>654</v>
      </c>
      <c r="H110" s="166">
        <f t="shared" si="17"/>
        <v>93.500000000000014</v>
      </c>
      <c r="I110" s="73">
        <f t="shared" si="17"/>
        <v>71.5</v>
      </c>
      <c r="J110" s="73">
        <f t="shared" si="17"/>
        <v>66</v>
      </c>
      <c r="K110" s="73">
        <f t="shared" si="12"/>
        <v>65.45</v>
      </c>
      <c r="L110" s="73">
        <f t="shared" si="12"/>
        <v>50.05</v>
      </c>
      <c r="M110" s="73">
        <f t="shared" si="12"/>
        <v>46.199999999999996</v>
      </c>
    </row>
    <row r="111" spans="1:13" ht="32.25" customHeight="1" x14ac:dyDescent="0.25">
      <c r="A111" s="190">
        <v>1</v>
      </c>
      <c r="B111" s="86" t="s">
        <v>730</v>
      </c>
      <c r="C111" s="64">
        <v>85</v>
      </c>
      <c r="D111" s="64">
        <v>65</v>
      </c>
      <c r="E111" s="191">
        <v>60</v>
      </c>
      <c r="F111" s="60" t="s">
        <v>547</v>
      </c>
      <c r="G111" s="76" t="s">
        <v>729</v>
      </c>
      <c r="H111" s="166"/>
      <c r="I111" s="73"/>
      <c r="J111" s="73"/>
      <c r="K111" s="73"/>
      <c r="L111" s="73"/>
      <c r="M111" s="73"/>
    </row>
    <row r="112" spans="1:13" ht="33" x14ac:dyDescent="0.25">
      <c r="A112" s="190">
        <v>2</v>
      </c>
      <c r="B112" s="86" t="s">
        <v>731</v>
      </c>
      <c r="C112" s="64">
        <v>120</v>
      </c>
      <c r="D112" s="64">
        <v>72</v>
      </c>
      <c r="E112" s="191">
        <v>50</v>
      </c>
      <c r="F112" s="64">
        <v>1</v>
      </c>
      <c r="G112" s="86" t="s">
        <v>730</v>
      </c>
      <c r="H112" s="166">
        <f>C111*1.1</f>
        <v>93.500000000000014</v>
      </c>
      <c r="I112" s="73">
        <f>D111*1.1</f>
        <v>71.5</v>
      </c>
      <c r="J112" s="73">
        <f>E111*1.1</f>
        <v>66</v>
      </c>
      <c r="K112" s="73">
        <f t="shared" si="12"/>
        <v>65.45</v>
      </c>
      <c r="L112" s="73">
        <f t="shared" si="12"/>
        <v>50.05</v>
      </c>
      <c r="M112" s="73">
        <f t="shared" si="12"/>
        <v>46.199999999999996</v>
      </c>
    </row>
    <row r="113" spans="1:13" ht="33" x14ac:dyDescent="0.25">
      <c r="A113" s="190">
        <v>3</v>
      </c>
      <c r="B113" s="64" t="s">
        <v>733</v>
      </c>
      <c r="C113" s="64">
        <v>85</v>
      </c>
      <c r="D113" s="64">
        <v>65</v>
      </c>
      <c r="E113" s="191">
        <v>60</v>
      </c>
      <c r="F113" s="64">
        <v>2</v>
      </c>
      <c r="G113" s="86" t="s">
        <v>732</v>
      </c>
      <c r="H113" s="64">
        <v>94</v>
      </c>
      <c r="I113" s="64">
        <v>72</v>
      </c>
      <c r="J113" s="64">
        <v>66</v>
      </c>
      <c r="K113" s="73">
        <f t="shared" si="12"/>
        <v>65.8</v>
      </c>
      <c r="L113" s="73">
        <f t="shared" si="12"/>
        <v>50.4</v>
      </c>
      <c r="M113" s="73">
        <f t="shared" si="12"/>
        <v>46.199999999999996</v>
      </c>
    </row>
    <row r="114" spans="1:13" ht="33.75" thickBot="1" x14ac:dyDescent="0.3">
      <c r="A114" s="192">
        <v>4</v>
      </c>
      <c r="B114" s="86" t="s">
        <v>654</v>
      </c>
      <c r="C114" s="64">
        <v>70</v>
      </c>
      <c r="D114" s="64">
        <v>60</v>
      </c>
      <c r="E114" s="191">
        <v>55</v>
      </c>
      <c r="F114" s="64">
        <v>3</v>
      </c>
      <c r="G114" s="86" t="s">
        <v>733</v>
      </c>
      <c r="H114" s="64">
        <v>132</v>
      </c>
      <c r="I114" s="64">
        <v>79</v>
      </c>
      <c r="J114" s="64">
        <v>55</v>
      </c>
      <c r="K114" s="73">
        <f t="shared" si="12"/>
        <v>92.399999999999991</v>
      </c>
      <c r="L114" s="73">
        <f t="shared" si="12"/>
        <v>55.3</v>
      </c>
      <c r="M114" s="73">
        <f t="shared" si="12"/>
        <v>38.5</v>
      </c>
    </row>
    <row r="115" spans="1:13" ht="17.25" thickTop="1" x14ac:dyDescent="0.25">
      <c r="A115" s="57"/>
      <c r="B115" s="57"/>
      <c r="C115" s="78"/>
      <c r="D115" s="78"/>
      <c r="E115" s="78"/>
      <c r="F115" s="64">
        <v>4</v>
      </c>
      <c r="G115" s="86" t="s">
        <v>654</v>
      </c>
      <c r="H115" s="166">
        <f>C114*1.1</f>
        <v>77</v>
      </c>
      <c r="I115" s="73">
        <f>D114*1.1</f>
        <v>66</v>
      </c>
      <c r="J115" s="73">
        <f>E114*1.1</f>
        <v>60.500000000000007</v>
      </c>
      <c r="K115" s="73">
        <f t="shared" si="12"/>
        <v>53.9</v>
      </c>
      <c r="L115" s="73">
        <f t="shared" si="12"/>
        <v>46.199999999999996</v>
      </c>
      <c r="M115" s="73">
        <f t="shared" si="12"/>
        <v>42.35</v>
      </c>
    </row>
  </sheetData>
  <mergeCells count="6">
    <mergeCell ref="F1:M1"/>
    <mergeCell ref="F3:F4"/>
    <mergeCell ref="G3:G4"/>
    <mergeCell ref="H3:J3"/>
    <mergeCell ref="F2:M2"/>
    <mergeCell ref="K3:M3"/>
  </mergeCells>
  <pageMargins left="0.18740157480315001" right="0.19055118110236199" top="0.49055118110236201" bottom="0.19055118110236199" header="0.118110236220472" footer="0.118110236220472"/>
  <pageSetup paperSize="9" scale="90" firstPageNumber="43"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1. TP DBP </vt:lpstr>
      <vt:lpstr>2. Huyện Điện Biên</vt:lpstr>
      <vt:lpstr>3. Điện Biên Đông</vt:lpstr>
      <vt:lpstr>4. Mường Ảng</vt:lpstr>
      <vt:lpstr>5.Tuần Giáo</vt:lpstr>
      <vt:lpstr>6. Mường Nhé</vt:lpstr>
      <vt:lpstr>7. Mường Chà</vt:lpstr>
      <vt:lpstr>8. Nậm Pồ</vt:lpstr>
      <vt:lpstr>9. Tủa Chùa</vt:lpstr>
      <vt:lpstr>10. Mường Lay</vt:lpstr>
      <vt:lpstr>'1. TP DBP '!Print_Titles</vt:lpstr>
      <vt:lpstr>'10. Mường Lay'!Print_Titles</vt:lpstr>
      <vt:lpstr>'2. Huyện Điện Biên'!Print_Titles</vt:lpstr>
      <vt:lpstr>'3. Điện Biên Đông'!Print_Titles</vt:lpstr>
      <vt:lpstr>'4. Mường Ảng'!Print_Titles</vt:lpstr>
      <vt:lpstr>'5.Tuần Giáo'!Print_Titles</vt:lpstr>
      <vt:lpstr>'6. Mường Nhé'!Print_Titles</vt:lpstr>
      <vt:lpstr>'7. Mường Chà'!Print_Titles</vt:lpstr>
      <vt:lpstr>'8. Nậm Pồ'!Print_Titles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2024-12-08T05:24:33Z</dcterms:modified>
</cp:coreProperties>
</file>